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almiragonzalez\Documents\site\Federalizados\Ejercicio2023\Publicaciones\"/>
    </mc:Choice>
  </mc:AlternateContent>
  <bookViews>
    <workbookView xWindow="0" yWindow="0" windowWidth="28800" windowHeight="12435"/>
  </bookViews>
  <sheets>
    <sheet name="CALENDARIO 2023" sheetId="23" r:id="rId1"/>
    <sheet name="Consolidado" sheetId="3" r:id="rId2"/>
    <sheet name="FGP" sheetId="4" r:id="rId3"/>
    <sheet name="FFM" sheetId="5" r:id="rId4"/>
    <sheet name="FOFIR" sheetId="8" r:id="rId5"/>
    <sheet name="FOCO" sheetId="22" r:id="rId6"/>
    <sheet name="IEPS TyA" sheetId="20" r:id="rId7"/>
    <sheet name="IEPS GyD " sheetId="7" r:id="rId8"/>
    <sheet name="Incentivo ISAN" sheetId="14" r:id="rId9"/>
    <sheet name="FOCO ISAN" sheetId="13" r:id="rId10"/>
    <sheet name="ISR Enaje" sheetId="65" r:id="rId11"/>
    <sheet name="IEPS 2014 " sheetId="21" r:id="rId12"/>
    <sheet name="Datos" sheetId="15" state="veryHidden" r:id="rId13"/>
    <sheet name="CENSO 2020" sheetId="11" r:id="rId14"/>
    <sheet name="Predial y Agua" sheetId="1" r:id="rId15"/>
    <sheet name="FOCO ISAN (2)" sheetId="32" state="veryHidden" r:id="rId16"/>
    <sheet name=" FOCO INCREMENTO" sheetId="35" state="veryHidden" r:id="rId17"/>
    <sheet name=" FOCO ESTIMACION" sheetId="36" state="veryHidden" r:id="rId18"/>
    <sheet name="F.G.P. 2023" sheetId="50" r:id="rId19"/>
    <sheet name="F.F.M.2023" sheetId="46" r:id="rId20"/>
    <sheet name="IEPS2023" sheetId="43" r:id="rId21"/>
    <sheet name="IEPSGAS 2023" sheetId="40" r:id="rId22"/>
    <sheet name="FOFIR 2023" sheetId="37" r:id="rId23"/>
    <sheet name="FOCO 2023" sheetId="34" r:id="rId24"/>
    <sheet name="ISAN 2023" sheetId="33" r:id="rId25"/>
    <sheet name="FOCO ISAN 2023 " sheetId="62" r:id="rId26"/>
    <sheet name="ISR 2023" sheetId="67" r:id="rId27"/>
    <sheet name="ISR EJANE 2023" sheetId="68" r:id="rId28"/>
    <sheet name="FOFIR  INCREMENTO" sheetId="38" state="veryHidden" r:id="rId29"/>
    <sheet name="FOFIR ESTIMACIONES" sheetId="39" state="veryHidden" r:id="rId30"/>
    <sheet name="IEPSGASINCREMENTO" sheetId="41" state="veryHidden" r:id="rId31"/>
    <sheet name="IEPSGAS ESTIMACIONES" sheetId="42" state="veryHidden" r:id="rId32"/>
    <sheet name="IEPS INCREMENTO" sheetId="44" state="veryHidden" r:id="rId33"/>
    <sheet name="IEPS ESTIMACIONES" sheetId="45" state="veryHidden" r:id="rId34"/>
    <sheet name="IEPS2020 (2)" sheetId="59" state="hidden" r:id="rId35"/>
    <sheet name="F.F.M30%" sheetId="47" state="veryHidden" r:id="rId36"/>
    <sheet name="F.F.M.70%" sheetId="48" state="veryHidden" r:id="rId37"/>
    <sheet name="F.F.M.ESTIIMACIONES 2014" sheetId="49" state="veryHidden" r:id="rId38"/>
    <sheet name="F.G.P.INCREMENTO" sheetId="51" state="veryHidden" r:id="rId39"/>
    <sheet name="F.G.P. ESTIMACIONES 2014" sheetId="52" state="veryHidden" r:id="rId40"/>
    <sheet name="F.G.P. 2020 (2)" sheetId="56" state="veryHidden" r:id="rId41"/>
    <sheet name="F.F.M.2020 (2)" sheetId="57" state="veryHidden" r:id="rId42"/>
    <sheet name="FOCO 2020 (2)" sheetId="58" state="veryHidden" r:id="rId43"/>
    <sheet name="IEPSGAS 2020 (2)" sheetId="60" state="veryHidden" r:id="rId44"/>
    <sheet name="FOFIR 2020 (2)" sheetId="61" state="veryHidden" r:id="rId45"/>
    <sheet name="ISAN Recaudacion (2)" sheetId="63" state="hidden" r:id="rId46"/>
    <sheet name="ISR" sheetId="72" state="veryHidden" r:id="rId47"/>
    <sheet name="ENAJENACION" sheetId="70" state="veryHidden" r:id="rId48"/>
    <sheet name="X22.55 POE" sheetId="66" state="veryHidden" r:id="rId49"/>
    <sheet name="X22.55 DOF" sheetId="71" state="veryHidden" r:id="rId50"/>
    <sheet name="FGP 30%" sheetId="18" state="veryHidden" r:id="rId51"/>
    <sheet name="FGP 10%" sheetId="19" state="veryHidden" r:id="rId52"/>
  </sheets>
  <externalReferences>
    <externalReference r:id="rId53"/>
    <externalReference r:id="rId54"/>
    <externalReference r:id="rId55"/>
    <externalReference r:id="rId56"/>
    <externalReference r:id="rId57"/>
    <externalReference r:id="rId58"/>
  </externalReferences>
  <definedNames>
    <definedName name="_xlnm.Print_Area" localSheetId="0">'CALENDARIO 2023'!$A$1:$G$53</definedName>
    <definedName name="_xlnm.Print_Area" localSheetId="13">'CENSO 2020'!$B$3:$C$34</definedName>
    <definedName name="_xlnm.Print_Area" localSheetId="12">Datos!$B$2:$K$67</definedName>
    <definedName name="_xlnm.Print_Area" localSheetId="19">F.F.M.2023!$A$1:$O$25</definedName>
    <definedName name="_xlnm.Print_Area" localSheetId="18">'F.G.P. 2023'!$A$1:$O$25</definedName>
    <definedName name="_xlnm.Print_Area" localSheetId="9">'FOCO ISAN'!$B$1:$J$29</definedName>
    <definedName name="_xlnm.Print_Area" localSheetId="25">'FOCO ISAN 2023 '!$A$1:$O$25</definedName>
    <definedName name="_xlnm.Print_Area" localSheetId="4">FOFIR!$B$1:$K$33</definedName>
    <definedName name="_xlnm.Print_Area" localSheetId="22">'FOFIR 2023'!$A$1:$N$25</definedName>
    <definedName name="_xlnm.Print_Area" localSheetId="11">'IEPS 2014 '!$A$1:$O$31</definedName>
    <definedName name="_xlnm.Print_Area" localSheetId="7">'IEPS GyD '!$B$1:$H$32</definedName>
    <definedName name="_xlnm.Print_Area" localSheetId="6">'IEPS TyA'!$B$1:$G$30</definedName>
    <definedName name="_xlnm.Print_Area" localSheetId="20">IEPS2023!$A$1:$O$27</definedName>
    <definedName name="_xlnm.Print_Area" localSheetId="21">'IEPSGAS 2023'!$A$1:$O$25</definedName>
    <definedName name="_xlnm.Print_Area" localSheetId="8">'Incentivo ISAN'!$B$1:$L$29</definedName>
    <definedName name="_xlnm.Print_Area" localSheetId="24">'ISAN 2023'!$A$1:$O$25</definedName>
    <definedName name="_xlnm.Print_Area" localSheetId="26">'ISR 2023'!$A$1:$O$25</definedName>
    <definedName name="_xlnm.Print_Area" localSheetId="27">'ISR EJANE 2023'!$A$1:$O$25</definedName>
    <definedName name="_xlnm.Print_Area" localSheetId="10">'ISR Enaje'!$B$1:$S$34</definedName>
    <definedName name="_xlnm.Print_Area" localSheetId="14">'Predial y Agua'!$A$3:$G$29</definedName>
    <definedName name="_xlnm.Print_Area" localSheetId="48">'X22.55 POE'!$A$1:$M$194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72" l="1"/>
  <c r="Q9" i="72"/>
  <c r="B6" i="67" s="1"/>
  <c r="Q10" i="72"/>
  <c r="Q27" i="72" s="1"/>
  <c r="Q11" i="72"/>
  <c r="Q12" i="72"/>
  <c r="R12" i="72" s="1"/>
  <c r="Q13" i="72"/>
  <c r="Q14" i="72"/>
  <c r="R14" i="72" s="1"/>
  <c r="Q15" i="72"/>
  <c r="Q16" i="72"/>
  <c r="R16" i="72" s="1"/>
  <c r="Q17" i="72"/>
  <c r="R17" i="72" s="1"/>
  <c r="Q18" i="72"/>
  <c r="R18" i="72" s="1"/>
  <c r="Q19" i="72"/>
  <c r="Q20" i="72"/>
  <c r="R20" i="72" s="1"/>
  <c r="Q21" i="72"/>
  <c r="Q22" i="72"/>
  <c r="R22" i="72" s="1"/>
  <c r="Q23" i="72"/>
  <c r="Q24" i="72"/>
  <c r="Q25" i="72"/>
  <c r="Q26" i="72"/>
  <c r="Q7" i="72"/>
  <c r="R9" i="72"/>
  <c r="B12" i="67"/>
  <c r="R21" i="72"/>
  <c r="B7" i="67"/>
  <c r="R26" i="72"/>
  <c r="B22" i="67"/>
  <c r="R24" i="72"/>
  <c r="S27" i="72"/>
  <c r="R11" i="72"/>
  <c r="R13" i="72"/>
  <c r="R15" i="72"/>
  <c r="R19" i="72"/>
  <c r="R23" i="72"/>
  <c r="R25" i="72"/>
  <c r="B5" i="67"/>
  <c r="B8" i="67"/>
  <c r="B9" i="67"/>
  <c r="B10" i="67"/>
  <c r="B13" i="67"/>
  <c r="B14" i="67"/>
  <c r="B16" i="67"/>
  <c r="B17" i="67"/>
  <c r="B20" i="67"/>
  <c r="B21" i="67"/>
  <c r="N27" i="72"/>
  <c r="M27" i="72"/>
  <c r="L27" i="72"/>
  <c r="K27" i="72"/>
  <c r="J27" i="72"/>
  <c r="I27" i="72"/>
  <c r="H27" i="72"/>
  <c r="G27" i="72"/>
  <c r="F27" i="72"/>
  <c r="E27" i="72"/>
  <c r="D27" i="72"/>
  <c r="C27" i="72"/>
  <c r="O26" i="72"/>
  <c r="O25" i="72"/>
  <c r="O24" i="72"/>
  <c r="O23" i="72"/>
  <c r="O22" i="72"/>
  <c r="O21" i="72"/>
  <c r="O20" i="72"/>
  <c r="O19" i="72"/>
  <c r="O18" i="72"/>
  <c r="O17" i="72"/>
  <c r="O16" i="72"/>
  <c r="O15" i="72"/>
  <c r="O14" i="72"/>
  <c r="O13" i="72"/>
  <c r="O12" i="72"/>
  <c r="O11" i="72"/>
  <c r="O10" i="72"/>
  <c r="O9" i="72"/>
  <c r="O8" i="72"/>
  <c r="O7" i="72"/>
  <c r="O27" i="72" s="1"/>
  <c r="B18" i="67" l="1"/>
  <c r="R10" i="72"/>
  <c r="R8" i="72"/>
  <c r="B23" i="67"/>
  <c r="B19" i="67"/>
  <c r="B15" i="67"/>
  <c r="B11" i="67"/>
  <c r="B4" i="67"/>
  <c r="R7" i="72"/>
  <c r="R27" i="72" l="1"/>
  <c r="D27" i="45" l="1"/>
  <c r="E27" i="45"/>
  <c r="F27" i="45"/>
  <c r="G27" i="45"/>
  <c r="H27" i="45"/>
  <c r="I27" i="45"/>
  <c r="J27" i="45"/>
  <c r="K27" i="45"/>
  <c r="L27" i="45"/>
  <c r="M27" i="45"/>
  <c r="N27" i="45"/>
  <c r="C27" i="45"/>
  <c r="C5" i="34"/>
  <c r="D5" i="34"/>
  <c r="E5" i="34"/>
  <c r="F5" i="34"/>
  <c r="G5" i="34"/>
  <c r="H5" i="34"/>
  <c r="I5" i="34"/>
  <c r="J5" i="34"/>
  <c r="K5" i="34"/>
  <c r="L5" i="34"/>
  <c r="M5" i="34"/>
  <c r="N5" i="34"/>
  <c r="C6" i="34"/>
  <c r="D6" i="34"/>
  <c r="E6" i="34"/>
  <c r="F6" i="34"/>
  <c r="G6" i="34"/>
  <c r="H6" i="34"/>
  <c r="I6" i="34"/>
  <c r="J6" i="34"/>
  <c r="K6" i="34"/>
  <c r="L6" i="34"/>
  <c r="M6" i="34"/>
  <c r="N6" i="34"/>
  <c r="C7" i="34"/>
  <c r="D7" i="34"/>
  <c r="E7" i="34"/>
  <c r="F7" i="34"/>
  <c r="G7" i="34"/>
  <c r="H7" i="34"/>
  <c r="I7" i="34"/>
  <c r="J7" i="34"/>
  <c r="K7" i="34"/>
  <c r="L7" i="34"/>
  <c r="M7" i="34"/>
  <c r="N7" i="34"/>
  <c r="C8" i="34"/>
  <c r="D8" i="34"/>
  <c r="E8" i="34"/>
  <c r="F8" i="34"/>
  <c r="G8" i="34"/>
  <c r="H8" i="34"/>
  <c r="I8" i="34"/>
  <c r="J8" i="34"/>
  <c r="K8" i="34"/>
  <c r="L8" i="34"/>
  <c r="M8" i="34"/>
  <c r="N8" i="34"/>
  <c r="C9" i="34"/>
  <c r="D9" i="34"/>
  <c r="E9" i="34"/>
  <c r="F9" i="34"/>
  <c r="G9" i="34"/>
  <c r="H9" i="34"/>
  <c r="I9" i="34"/>
  <c r="J9" i="34"/>
  <c r="K9" i="34"/>
  <c r="L9" i="34"/>
  <c r="M9" i="34"/>
  <c r="N9" i="34"/>
  <c r="C10" i="34"/>
  <c r="D10" i="34"/>
  <c r="E10" i="34"/>
  <c r="F10" i="34"/>
  <c r="G10" i="34"/>
  <c r="H10" i="34"/>
  <c r="I10" i="34"/>
  <c r="J10" i="34"/>
  <c r="K10" i="34"/>
  <c r="L10" i="34"/>
  <c r="M10" i="34"/>
  <c r="N10" i="34"/>
  <c r="C11" i="34"/>
  <c r="D11" i="34"/>
  <c r="E11" i="34"/>
  <c r="F11" i="34"/>
  <c r="G11" i="34"/>
  <c r="H11" i="34"/>
  <c r="I11" i="34"/>
  <c r="J11" i="34"/>
  <c r="K11" i="34"/>
  <c r="L11" i="34"/>
  <c r="M11" i="34"/>
  <c r="N11" i="34"/>
  <c r="C12" i="34"/>
  <c r="D12" i="34"/>
  <c r="E12" i="34"/>
  <c r="F12" i="34"/>
  <c r="G12" i="34"/>
  <c r="H12" i="34"/>
  <c r="I12" i="34"/>
  <c r="J12" i="34"/>
  <c r="K12" i="34"/>
  <c r="L12" i="34"/>
  <c r="M12" i="34"/>
  <c r="N12" i="34"/>
  <c r="C13" i="34"/>
  <c r="D13" i="34"/>
  <c r="E13" i="34"/>
  <c r="F13" i="34"/>
  <c r="G13" i="34"/>
  <c r="H13" i="34"/>
  <c r="I13" i="34"/>
  <c r="J13" i="34"/>
  <c r="K13" i="34"/>
  <c r="L13" i="34"/>
  <c r="M13" i="34"/>
  <c r="N13" i="34"/>
  <c r="C14" i="34"/>
  <c r="D14" i="34"/>
  <c r="E14" i="34"/>
  <c r="F14" i="34"/>
  <c r="G14" i="34"/>
  <c r="H14" i="34"/>
  <c r="I14" i="34"/>
  <c r="J14" i="34"/>
  <c r="K14" i="34"/>
  <c r="L14" i="34"/>
  <c r="M14" i="34"/>
  <c r="N14" i="34"/>
  <c r="C15" i="34"/>
  <c r="D15" i="34"/>
  <c r="E15" i="34"/>
  <c r="F15" i="34"/>
  <c r="G15" i="34"/>
  <c r="H15" i="34"/>
  <c r="I15" i="34"/>
  <c r="J15" i="34"/>
  <c r="K15" i="34"/>
  <c r="L15" i="34"/>
  <c r="M15" i="34"/>
  <c r="N15" i="34"/>
  <c r="C16" i="34"/>
  <c r="D16" i="34"/>
  <c r="E16" i="34"/>
  <c r="F16" i="34"/>
  <c r="G16" i="34"/>
  <c r="H16" i="34"/>
  <c r="I16" i="34"/>
  <c r="J16" i="34"/>
  <c r="K16" i="34"/>
  <c r="L16" i="34"/>
  <c r="M16" i="34"/>
  <c r="N16" i="34"/>
  <c r="C17" i="34"/>
  <c r="D17" i="34"/>
  <c r="E17" i="34"/>
  <c r="F17" i="34"/>
  <c r="G17" i="34"/>
  <c r="H17" i="34"/>
  <c r="I17" i="34"/>
  <c r="J17" i="34"/>
  <c r="K17" i="34"/>
  <c r="L17" i="34"/>
  <c r="M17" i="34"/>
  <c r="N17" i="34"/>
  <c r="C18" i="34"/>
  <c r="D18" i="34"/>
  <c r="E18" i="34"/>
  <c r="F18" i="34"/>
  <c r="G18" i="34"/>
  <c r="H18" i="34"/>
  <c r="I18" i="34"/>
  <c r="J18" i="34"/>
  <c r="K18" i="34"/>
  <c r="L18" i="34"/>
  <c r="M18" i="34"/>
  <c r="N18" i="34"/>
  <c r="C19" i="34"/>
  <c r="D19" i="34"/>
  <c r="E19" i="34"/>
  <c r="F19" i="34"/>
  <c r="G19" i="34"/>
  <c r="H19" i="34"/>
  <c r="I19" i="34"/>
  <c r="J19" i="34"/>
  <c r="K19" i="34"/>
  <c r="L19" i="34"/>
  <c r="M19" i="34"/>
  <c r="N19" i="34"/>
  <c r="C20" i="34"/>
  <c r="D20" i="34"/>
  <c r="E20" i="34"/>
  <c r="F20" i="34"/>
  <c r="G20" i="34"/>
  <c r="H20" i="34"/>
  <c r="I20" i="34"/>
  <c r="J20" i="34"/>
  <c r="K20" i="34"/>
  <c r="L20" i="34"/>
  <c r="M20" i="34"/>
  <c r="N20" i="34"/>
  <c r="C21" i="34"/>
  <c r="D21" i="34"/>
  <c r="E21" i="34"/>
  <c r="F21" i="34"/>
  <c r="G21" i="34"/>
  <c r="H21" i="34"/>
  <c r="I21" i="34"/>
  <c r="J21" i="34"/>
  <c r="K21" i="34"/>
  <c r="L21" i="34"/>
  <c r="M21" i="34"/>
  <c r="N21" i="34"/>
  <c r="C22" i="34"/>
  <c r="D22" i="34"/>
  <c r="E22" i="34"/>
  <c r="F22" i="34"/>
  <c r="G22" i="34"/>
  <c r="H22" i="34"/>
  <c r="I22" i="34"/>
  <c r="J22" i="34"/>
  <c r="K22" i="34"/>
  <c r="L22" i="34"/>
  <c r="M22" i="34"/>
  <c r="N22" i="34"/>
  <c r="C23" i="34"/>
  <c r="D23" i="34"/>
  <c r="E23" i="34"/>
  <c r="F23" i="34"/>
  <c r="G23" i="34"/>
  <c r="H23" i="34"/>
  <c r="I23" i="34"/>
  <c r="J23" i="34"/>
  <c r="K23" i="34"/>
  <c r="L23" i="34"/>
  <c r="M23" i="34"/>
  <c r="N23" i="34"/>
  <c r="D4" i="34"/>
  <c r="E4" i="34"/>
  <c r="F4" i="34"/>
  <c r="G4" i="34"/>
  <c r="H4" i="34"/>
  <c r="I4" i="34"/>
  <c r="J4" i="34"/>
  <c r="K4" i="34"/>
  <c r="L4" i="34"/>
  <c r="M4" i="34"/>
  <c r="N4" i="34"/>
  <c r="C4" i="34"/>
  <c r="B5" i="37"/>
  <c r="C5" i="37"/>
  <c r="D5" i="37"/>
  <c r="E5" i="37"/>
  <c r="F5" i="37"/>
  <c r="G5" i="37"/>
  <c r="H5" i="37"/>
  <c r="I5" i="37"/>
  <c r="J5" i="37"/>
  <c r="K5" i="37"/>
  <c r="L5" i="37"/>
  <c r="M5" i="37"/>
  <c r="B6" i="37"/>
  <c r="C6" i="37"/>
  <c r="D6" i="37"/>
  <c r="E6" i="37"/>
  <c r="F6" i="37"/>
  <c r="G6" i="37"/>
  <c r="H6" i="37"/>
  <c r="I6" i="37"/>
  <c r="J6" i="37"/>
  <c r="K6" i="37"/>
  <c r="L6" i="37"/>
  <c r="M6" i="37"/>
  <c r="B7" i="37"/>
  <c r="C7" i="37"/>
  <c r="D7" i="37"/>
  <c r="E7" i="37"/>
  <c r="F7" i="37"/>
  <c r="G7" i="37"/>
  <c r="H7" i="37"/>
  <c r="I7" i="37"/>
  <c r="J7" i="37"/>
  <c r="K7" i="37"/>
  <c r="L7" i="37"/>
  <c r="M7" i="37"/>
  <c r="B8" i="37"/>
  <c r="C8" i="37"/>
  <c r="D8" i="37"/>
  <c r="E8" i="37"/>
  <c r="F8" i="37"/>
  <c r="G8" i="37"/>
  <c r="H8" i="37"/>
  <c r="I8" i="37"/>
  <c r="J8" i="37"/>
  <c r="K8" i="37"/>
  <c r="L8" i="37"/>
  <c r="M8" i="37"/>
  <c r="B9" i="37"/>
  <c r="C9" i="37"/>
  <c r="D9" i="37"/>
  <c r="E9" i="37"/>
  <c r="F9" i="37"/>
  <c r="G9" i="37"/>
  <c r="H9" i="37"/>
  <c r="I9" i="37"/>
  <c r="J9" i="37"/>
  <c r="K9" i="37"/>
  <c r="L9" i="37"/>
  <c r="M9" i="37"/>
  <c r="B10" i="37"/>
  <c r="C10" i="37"/>
  <c r="D10" i="37"/>
  <c r="E10" i="37"/>
  <c r="F10" i="37"/>
  <c r="G10" i="37"/>
  <c r="H10" i="37"/>
  <c r="I10" i="37"/>
  <c r="J10" i="37"/>
  <c r="K10" i="37"/>
  <c r="L10" i="37"/>
  <c r="M10" i="37"/>
  <c r="B11" i="37"/>
  <c r="C11" i="37"/>
  <c r="D11" i="37"/>
  <c r="E11" i="37"/>
  <c r="F11" i="37"/>
  <c r="G11" i="37"/>
  <c r="H11" i="37"/>
  <c r="I11" i="37"/>
  <c r="J11" i="37"/>
  <c r="K11" i="37"/>
  <c r="L11" i="37"/>
  <c r="M11" i="37"/>
  <c r="B12" i="37"/>
  <c r="C12" i="37"/>
  <c r="D12" i="37"/>
  <c r="E12" i="37"/>
  <c r="F12" i="37"/>
  <c r="G12" i="37"/>
  <c r="H12" i="37"/>
  <c r="I12" i="37"/>
  <c r="J12" i="37"/>
  <c r="K12" i="37"/>
  <c r="L12" i="37"/>
  <c r="M12" i="37"/>
  <c r="B13" i="37"/>
  <c r="C13" i="37"/>
  <c r="D13" i="37"/>
  <c r="E13" i="37"/>
  <c r="F13" i="37"/>
  <c r="G13" i="37"/>
  <c r="H13" i="37"/>
  <c r="I13" i="37"/>
  <c r="J13" i="37"/>
  <c r="K13" i="37"/>
  <c r="L13" i="37"/>
  <c r="M13" i="37"/>
  <c r="B14" i="37"/>
  <c r="C14" i="37"/>
  <c r="D14" i="37"/>
  <c r="E14" i="37"/>
  <c r="F14" i="37"/>
  <c r="G14" i="37"/>
  <c r="H14" i="37"/>
  <c r="I14" i="37"/>
  <c r="J14" i="37"/>
  <c r="K14" i="37"/>
  <c r="L14" i="37"/>
  <c r="M14" i="37"/>
  <c r="B15" i="37"/>
  <c r="C15" i="37"/>
  <c r="D15" i="37"/>
  <c r="E15" i="37"/>
  <c r="F15" i="37"/>
  <c r="G15" i="37"/>
  <c r="H15" i="37"/>
  <c r="I15" i="37"/>
  <c r="J15" i="37"/>
  <c r="K15" i="37"/>
  <c r="L15" i="37"/>
  <c r="M15" i="37"/>
  <c r="B16" i="37"/>
  <c r="C16" i="37"/>
  <c r="D16" i="37"/>
  <c r="E16" i="37"/>
  <c r="F16" i="37"/>
  <c r="G16" i="37"/>
  <c r="H16" i="37"/>
  <c r="I16" i="37"/>
  <c r="J16" i="37"/>
  <c r="K16" i="37"/>
  <c r="L16" i="37"/>
  <c r="M16" i="37"/>
  <c r="B17" i="37"/>
  <c r="C17" i="37"/>
  <c r="D17" i="37"/>
  <c r="E17" i="37"/>
  <c r="F17" i="37"/>
  <c r="G17" i="37"/>
  <c r="H17" i="37"/>
  <c r="I17" i="37"/>
  <c r="J17" i="37"/>
  <c r="K17" i="37"/>
  <c r="L17" i="37"/>
  <c r="M17" i="37"/>
  <c r="B18" i="37"/>
  <c r="C18" i="37"/>
  <c r="D18" i="37"/>
  <c r="E18" i="37"/>
  <c r="F18" i="37"/>
  <c r="G18" i="37"/>
  <c r="H18" i="37"/>
  <c r="I18" i="37"/>
  <c r="J18" i="37"/>
  <c r="K18" i="37"/>
  <c r="L18" i="37"/>
  <c r="M18" i="37"/>
  <c r="B19" i="37"/>
  <c r="C19" i="37"/>
  <c r="D19" i="37"/>
  <c r="E19" i="37"/>
  <c r="F19" i="37"/>
  <c r="G19" i="37"/>
  <c r="H19" i="37"/>
  <c r="I19" i="37"/>
  <c r="J19" i="37"/>
  <c r="K19" i="37"/>
  <c r="L19" i="37"/>
  <c r="M19" i="37"/>
  <c r="B20" i="37"/>
  <c r="C20" i="37"/>
  <c r="D20" i="37"/>
  <c r="E20" i="37"/>
  <c r="F20" i="37"/>
  <c r="G20" i="37"/>
  <c r="H20" i="37"/>
  <c r="I20" i="37"/>
  <c r="J20" i="37"/>
  <c r="K20" i="37"/>
  <c r="L20" i="37"/>
  <c r="M20" i="37"/>
  <c r="B21" i="37"/>
  <c r="C21" i="37"/>
  <c r="D21" i="37"/>
  <c r="E21" i="37"/>
  <c r="F21" i="37"/>
  <c r="G21" i="37"/>
  <c r="H21" i="37"/>
  <c r="I21" i="37"/>
  <c r="J21" i="37"/>
  <c r="K21" i="37"/>
  <c r="L21" i="37"/>
  <c r="M21" i="37"/>
  <c r="B22" i="37"/>
  <c r="C22" i="37"/>
  <c r="D22" i="37"/>
  <c r="E22" i="37"/>
  <c r="F22" i="37"/>
  <c r="G22" i="37"/>
  <c r="H22" i="37"/>
  <c r="I22" i="37"/>
  <c r="J22" i="37"/>
  <c r="K22" i="37"/>
  <c r="L22" i="37"/>
  <c r="M22" i="37"/>
  <c r="B23" i="37"/>
  <c r="C23" i="37"/>
  <c r="D23" i="37"/>
  <c r="E23" i="37"/>
  <c r="F23" i="37"/>
  <c r="G23" i="37"/>
  <c r="H23" i="37"/>
  <c r="I23" i="37"/>
  <c r="J23" i="37"/>
  <c r="K23" i="37"/>
  <c r="L23" i="37"/>
  <c r="M23" i="37"/>
  <c r="C4" i="37"/>
  <c r="D4" i="37"/>
  <c r="E4" i="37"/>
  <c r="F4" i="37"/>
  <c r="G4" i="37"/>
  <c r="H4" i="37"/>
  <c r="I4" i="37"/>
  <c r="J4" i="37"/>
  <c r="K4" i="37"/>
  <c r="L4" i="37"/>
  <c r="M4" i="37"/>
  <c r="B4" i="37"/>
  <c r="B12" i="71" l="1"/>
  <c r="G29" i="20" l="1"/>
  <c r="F28" i="20" l="1"/>
  <c r="A10" i="71" l="1"/>
  <c r="D28" i="1" l="1"/>
  <c r="D27" i="1"/>
  <c r="D26" i="1"/>
  <c r="D25" i="1"/>
  <c r="D24" i="1"/>
  <c r="D23" i="1"/>
  <c r="D22" i="1"/>
  <c r="D21" i="1"/>
  <c r="D20" i="1"/>
  <c r="D19" i="1"/>
  <c r="D18" i="1"/>
  <c r="D17" i="1"/>
  <c r="D16" i="1"/>
  <c r="D15" i="1"/>
  <c r="D14" i="1"/>
  <c r="D13" i="1"/>
  <c r="D12" i="1"/>
  <c r="D11" i="1"/>
  <c r="D10" i="1"/>
  <c r="D9" i="1"/>
  <c r="I39" i="15" l="1"/>
  <c r="K44" i="15" l="1"/>
  <c r="R27" i="70" l="1"/>
  <c r="R8" i="70"/>
  <c r="R9" i="70"/>
  <c r="R10" i="70"/>
  <c r="R11" i="70"/>
  <c r="R12" i="70"/>
  <c r="R13" i="70"/>
  <c r="R14" i="70"/>
  <c r="R15" i="70"/>
  <c r="R16" i="70"/>
  <c r="R17" i="70"/>
  <c r="R18" i="70"/>
  <c r="R19" i="70"/>
  <c r="R20" i="70"/>
  <c r="R21" i="70"/>
  <c r="R22" i="70"/>
  <c r="R23" i="70"/>
  <c r="R24" i="70"/>
  <c r="R25" i="70"/>
  <c r="R26" i="70"/>
  <c r="R7" i="70"/>
  <c r="V29" i="65"/>
  <c r="Z10" i="3"/>
  <c r="Z11" i="3"/>
  <c r="Z12" i="3"/>
  <c r="Z13" i="3"/>
  <c r="Z14" i="3"/>
  <c r="Z15" i="3"/>
  <c r="Z16" i="3"/>
  <c r="Z17" i="3"/>
  <c r="Z18" i="3"/>
  <c r="Z19" i="3"/>
  <c r="Z20" i="3"/>
  <c r="Z21" i="3"/>
  <c r="Z22" i="3"/>
  <c r="Z23" i="3"/>
  <c r="Z24" i="3"/>
  <c r="Z25" i="3"/>
  <c r="Z26" i="3"/>
  <c r="Z27" i="3"/>
  <c r="Z28" i="3"/>
  <c r="Z9" i="3"/>
  <c r="Z29" i="3" s="1"/>
  <c r="D27" i="36" l="1"/>
  <c r="E27" i="36"/>
  <c r="F27" i="36"/>
  <c r="G27" i="36"/>
  <c r="H27" i="36"/>
  <c r="I27" i="36"/>
  <c r="J27" i="36"/>
  <c r="K27" i="36"/>
  <c r="L27" i="36"/>
  <c r="M27" i="36"/>
  <c r="N27" i="36"/>
  <c r="C27" i="36"/>
  <c r="D26" i="22"/>
  <c r="D25" i="22"/>
  <c r="D24" i="22"/>
  <c r="D22" i="22"/>
  <c r="D21" i="22"/>
  <c r="D20" i="22"/>
  <c r="D18" i="22"/>
  <c r="D17" i="22"/>
  <c r="D16" i="22"/>
  <c r="D14" i="22"/>
  <c r="D13" i="22"/>
  <c r="D12" i="22"/>
  <c r="D10" i="22"/>
  <c r="D9" i="22"/>
  <c r="D8" i="22"/>
  <c r="D28" i="22"/>
  <c r="D27" i="22" s="1"/>
  <c r="I41" i="15"/>
  <c r="D11" i="22" l="1"/>
  <c r="D15" i="22"/>
  <c r="D19" i="22"/>
  <c r="D23" i="22"/>
  <c r="I79" i="15"/>
  <c r="I77" i="15"/>
  <c r="I76" i="15"/>
  <c r="I75" i="15"/>
  <c r="I72" i="15"/>
  <c r="N190" i="66"/>
  <c r="C10" i="65"/>
  <c r="C11" i="65"/>
  <c r="C12" i="65"/>
  <c r="C13" i="65"/>
  <c r="C14" i="65"/>
  <c r="C15" i="65"/>
  <c r="C16" i="65"/>
  <c r="C17" i="65"/>
  <c r="C18" i="65"/>
  <c r="C19" i="65"/>
  <c r="C20" i="65"/>
  <c r="C21" i="65"/>
  <c r="C22" i="65"/>
  <c r="C23" i="65"/>
  <c r="C24" i="65"/>
  <c r="C25" i="65"/>
  <c r="C26" i="65"/>
  <c r="C27" i="65"/>
  <c r="C28" i="65"/>
  <c r="C9" i="65"/>
  <c r="K139" i="66"/>
  <c r="C118" i="66"/>
  <c r="G118" i="66"/>
  <c r="K118" i="66"/>
  <c r="C69" i="66"/>
  <c r="D69" i="66"/>
  <c r="E69" i="66"/>
  <c r="F69" i="66"/>
  <c r="G69" i="66"/>
  <c r="H69" i="66"/>
  <c r="I69" i="66"/>
  <c r="J69" i="66"/>
  <c r="K69" i="66"/>
  <c r="L69" i="66"/>
  <c r="M69" i="66"/>
  <c r="B69" i="66"/>
  <c r="F34" i="66"/>
  <c r="I34" i="66"/>
  <c r="M113" i="71"/>
  <c r="L113" i="71"/>
  <c r="K113" i="71"/>
  <c r="J113" i="71"/>
  <c r="I113" i="71"/>
  <c r="H113" i="71"/>
  <c r="G113" i="71"/>
  <c r="F113" i="71"/>
  <c r="E113" i="71"/>
  <c r="D113" i="71"/>
  <c r="C113" i="71"/>
  <c r="B113" i="71"/>
  <c r="M108" i="71"/>
  <c r="L108" i="71"/>
  <c r="K108" i="71"/>
  <c r="J108" i="71"/>
  <c r="I108" i="71"/>
  <c r="H108" i="71"/>
  <c r="G108" i="71"/>
  <c r="F108" i="71"/>
  <c r="E108" i="71"/>
  <c r="D108" i="71"/>
  <c r="C108" i="71"/>
  <c r="B108" i="71"/>
  <c r="N108" i="71" s="1"/>
  <c r="N106" i="71"/>
  <c r="A106" i="71"/>
  <c r="K104" i="71" s="1"/>
  <c r="M104" i="71"/>
  <c r="M139" i="66" s="1"/>
  <c r="I104" i="71"/>
  <c r="I139" i="66" s="1"/>
  <c r="F104" i="71"/>
  <c r="F139" i="66" s="1"/>
  <c r="E104" i="71"/>
  <c r="E139" i="66" s="1"/>
  <c r="M98" i="71"/>
  <c r="L98" i="71"/>
  <c r="K98" i="71"/>
  <c r="J98" i="71"/>
  <c r="I98" i="71"/>
  <c r="H98" i="71"/>
  <c r="G98" i="71"/>
  <c r="F98" i="71"/>
  <c r="E98" i="71"/>
  <c r="D98" i="71"/>
  <c r="C98" i="71"/>
  <c r="B98" i="71"/>
  <c r="N96" i="71"/>
  <c r="A96" i="71"/>
  <c r="A98" i="71" s="1"/>
  <c r="M88" i="71"/>
  <c r="L88" i="71"/>
  <c r="K88" i="71"/>
  <c r="J88" i="71"/>
  <c r="I88" i="71"/>
  <c r="H88" i="71"/>
  <c r="G88" i="71"/>
  <c r="F88" i="71"/>
  <c r="E88" i="71"/>
  <c r="D88" i="71"/>
  <c r="C88" i="71"/>
  <c r="B88" i="71"/>
  <c r="A88" i="71"/>
  <c r="N86" i="71"/>
  <c r="A86" i="71"/>
  <c r="M84" i="71"/>
  <c r="M118" i="66" s="1"/>
  <c r="L84" i="71"/>
  <c r="L118" i="66" s="1"/>
  <c r="K84" i="71"/>
  <c r="J84" i="71"/>
  <c r="J118" i="66" s="1"/>
  <c r="I84" i="71"/>
  <c r="I118" i="66" s="1"/>
  <c r="H84" i="71"/>
  <c r="H118" i="66" s="1"/>
  <c r="G84" i="71"/>
  <c r="F84" i="71"/>
  <c r="F118" i="66" s="1"/>
  <c r="E84" i="71"/>
  <c r="E118" i="66" s="1"/>
  <c r="D84" i="71"/>
  <c r="D118" i="66" s="1"/>
  <c r="C84" i="71"/>
  <c r="B84" i="71"/>
  <c r="B118" i="66" s="1"/>
  <c r="M78" i="71"/>
  <c r="L78" i="71"/>
  <c r="K78" i="71"/>
  <c r="J78" i="71"/>
  <c r="I78" i="71"/>
  <c r="H78" i="71"/>
  <c r="G78" i="71"/>
  <c r="F78" i="71"/>
  <c r="E78" i="71"/>
  <c r="D78" i="71"/>
  <c r="C78" i="71"/>
  <c r="B78" i="71"/>
  <c r="A78" i="71"/>
  <c r="N76" i="71"/>
  <c r="A76" i="71"/>
  <c r="K74" i="71" s="1"/>
  <c r="K93" i="66" s="1"/>
  <c r="M74" i="71"/>
  <c r="M93" i="66" s="1"/>
  <c r="L74" i="71"/>
  <c r="L93" i="66" s="1"/>
  <c r="J74" i="71"/>
  <c r="J93" i="66" s="1"/>
  <c r="I74" i="71"/>
  <c r="I93" i="66" s="1"/>
  <c r="H74" i="71"/>
  <c r="H93" i="66" s="1"/>
  <c r="F74" i="71"/>
  <c r="F93" i="66" s="1"/>
  <c r="E74" i="71"/>
  <c r="E93" i="66" s="1"/>
  <c r="D74" i="71"/>
  <c r="D93" i="66" s="1"/>
  <c r="B74" i="71"/>
  <c r="B93" i="66" s="1"/>
  <c r="M69" i="71"/>
  <c r="L69" i="71"/>
  <c r="K69" i="71"/>
  <c r="J69" i="71"/>
  <c r="I69" i="71"/>
  <c r="H69" i="71"/>
  <c r="G69" i="71"/>
  <c r="F69" i="71"/>
  <c r="E69" i="71"/>
  <c r="D69" i="71"/>
  <c r="C69" i="71"/>
  <c r="B69" i="71"/>
  <c r="N67" i="71"/>
  <c r="A67" i="71"/>
  <c r="K65" i="71" s="1"/>
  <c r="K81" i="66" s="1"/>
  <c r="M60" i="71"/>
  <c r="L60" i="71"/>
  <c r="K60" i="71"/>
  <c r="J60" i="71"/>
  <c r="I60" i="71"/>
  <c r="H60" i="71"/>
  <c r="G60" i="71"/>
  <c r="F60" i="71"/>
  <c r="E60" i="71"/>
  <c r="D60" i="71"/>
  <c r="C60" i="71"/>
  <c r="B60" i="71"/>
  <c r="N60" i="71" s="1"/>
  <c r="N58" i="71"/>
  <c r="A58" i="71"/>
  <c r="K56" i="71" s="1"/>
  <c r="M56" i="71"/>
  <c r="J56" i="71"/>
  <c r="I56" i="71"/>
  <c r="F56" i="71"/>
  <c r="E56" i="71"/>
  <c r="B56" i="71"/>
  <c r="M51" i="71"/>
  <c r="L51" i="71"/>
  <c r="K51" i="71"/>
  <c r="J51" i="71"/>
  <c r="I51" i="71"/>
  <c r="H51" i="71"/>
  <c r="G51" i="71"/>
  <c r="F51" i="71"/>
  <c r="E51" i="71"/>
  <c r="D51" i="71"/>
  <c r="C51" i="71"/>
  <c r="B51" i="71"/>
  <c r="N49" i="71"/>
  <c r="A49" i="71"/>
  <c r="A51" i="71" s="1"/>
  <c r="M42" i="71"/>
  <c r="L42" i="71"/>
  <c r="K42" i="71"/>
  <c r="J42" i="71"/>
  <c r="I42" i="71"/>
  <c r="H42" i="71"/>
  <c r="G42" i="71"/>
  <c r="F42" i="71"/>
  <c r="E42" i="71"/>
  <c r="D42" i="71"/>
  <c r="C42" i="71"/>
  <c r="B42" i="71"/>
  <c r="A42" i="71"/>
  <c r="N40" i="71"/>
  <c r="A40" i="71"/>
  <c r="K38" i="71" s="1"/>
  <c r="K45" i="66" s="1"/>
  <c r="M38" i="71"/>
  <c r="M45" i="66" s="1"/>
  <c r="L38" i="71"/>
  <c r="L45" i="66" s="1"/>
  <c r="J38" i="71"/>
  <c r="J45" i="66" s="1"/>
  <c r="I38" i="71"/>
  <c r="I45" i="66" s="1"/>
  <c r="H38" i="71"/>
  <c r="H45" i="66" s="1"/>
  <c r="F38" i="71"/>
  <c r="F45" i="66" s="1"/>
  <c r="E38" i="71"/>
  <c r="E45" i="66" s="1"/>
  <c r="D38" i="71"/>
  <c r="D45" i="66" s="1"/>
  <c r="B38" i="71"/>
  <c r="B45" i="66" s="1"/>
  <c r="M33" i="71"/>
  <c r="L33" i="71"/>
  <c r="K33" i="71"/>
  <c r="J33" i="71"/>
  <c r="I33" i="71"/>
  <c r="H33" i="71"/>
  <c r="G33" i="71"/>
  <c r="F33" i="71"/>
  <c r="E33" i="71"/>
  <c r="D33" i="71"/>
  <c r="C33" i="71"/>
  <c r="B33" i="71"/>
  <c r="A33" i="71"/>
  <c r="N31" i="71"/>
  <c r="A31" i="71"/>
  <c r="K29" i="71" s="1"/>
  <c r="K34" i="66" s="1"/>
  <c r="L29" i="71"/>
  <c r="L34" i="66" s="1"/>
  <c r="J29" i="71"/>
  <c r="J34" i="66" s="1"/>
  <c r="I29" i="71"/>
  <c r="F29" i="71"/>
  <c r="E29" i="71"/>
  <c r="E34" i="66" s="1"/>
  <c r="D29" i="71"/>
  <c r="D34" i="66" s="1"/>
  <c r="M21" i="71"/>
  <c r="L21" i="71"/>
  <c r="K21" i="71"/>
  <c r="J21" i="71"/>
  <c r="I21" i="71"/>
  <c r="H21" i="71"/>
  <c r="G21" i="71"/>
  <c r="F21" i="71"/>
  <c r="E21" i="71"/>
  <c r="D21" i="71"/>
  <c r="C21" i="71"/>
  <c r="B21" i="71"/>
  <c r="N21" i="71" s="1"/>
  <c r="M20" i="71"/>
  <c r="L20" i="71"/>
  <c r="K20" i="71"/>
  <c r="J20" i="71"/>
  <c r="I20" i="71"/>
  <c r="H20" i="71"/>
  <c r="G20" i="71"/>
  <c r="F20" i="71"/>
  <c r="E20" i="71"/>
  <c r="D20" i="71"/>
  <c r="C20" i="71"/>
  <c r="B20" i="71"/>
  <c r="N20" i="71" s="1"/>
  <c r="N19" i="71"/>
  <c r="A19" i="71"/>
  <c r="L17" i="71" s="1"/>
  <c r="L20" i="66" s="1"/>
  <c r="M12" i="71"/>
  <c r="L12" i="71"/>
  <c r="K12" i="71"/>
  <c r="J12" i="71"/>
  <c r="I12" i="71"/>
  <c r="H12" i="71"/>
  <c r="G12" i="71"/>
  <c r="F12" i="71"/>
  <c r="E12" i="71"/>
  <c r="D12" i="71"/>
  <c r="C12" i="71"/>
  <c r="A12" i="71"/>
  <c r="N10" i="71"/>
  <c r="M7" i="71"/>
  <c r="M7" i="66" s="1"/>
  <c r="L7" i="71"/>
  <c r="L7" i="66" s="1"/>
  <c r="K7" i="71"/>
  <c r="K7" i="66" s="1"/>
  <c r="J7" i="71"/>
  <c r="J7" i="66" s="1"/>
  <c r="I7" i="71"/>
  <c r="I7" i="66" s="1"/>
  <c r="H7" i="71"/>
  <c r="H7" i="66" s="1"/>
  <c r="G7" i="71"/>
  <c r="G7" i="66" s="1"/>
  <c r="F7" i="71"/>
  <c r="F7" i="66" s="1"/>
  <c r="E7" i="71"/>
  <c r="E7" i="66" s="1"/>
  <c r="D7" i="71"/>
  <c r="D7" i="66" s="1"/>
  <c r="C7" i="71"/>
  <c r="C7" i="66" s="1"/>
  <c r="B7" i="71"/>
  <c r="B7" i="66" s="1"/>
  <c r="B104" i="71" l="1"/>
  <c r="B139" i="66" s="1"/>
  <c r="J104" i="71"/>
  <c r="J139" i="66" s="1"/>
  <c r="A108" i="71"/>
  <c r="N98" i="71"/>
  <c r="N88" i="71"/>
  <c r="C74" i="71"/>
  <c r="G74" i="71"/>
  <c r="G93" i="66" s="1"/>
  <c r="N78" i="71"/>
  <c r="D65" i="71"/>
  <c r="D81" i="66" s="1"/>
  <c r="I65" i="71"/>
  <c r="I81" i="66" s="1"/>
  <c r="F65" i="71"/>
  <c r="F81" i="66" s="1"/>
  <c r="L65" i="71"/>
  <c r="L81" i="66" s="1"/>
  <c r="A69" i="71"/>
  <c r="E65" i="71"/>
  <c r="E81" i="66" s="1"/>
  <c r="J65" i="71"/>
  <c r="J81" i="66" s="1"/>
  <c r="C116" i="71"/>
  <c r="G116" i="71"/>
  <c r="B65" i="71"/>
  <c r="B81" i="66" s="1"/>
  <c r="H65" i="71"/>
  <c r="H81" i="66" s="1"/>
  <c r="M65" i="71"/>
  <c r="M81" i="66" s="1"/>
  <c r="N69" i="71"/>
  <c r="N51" i="71"/>
  <c r="K116" i="71"/>
  <c r="N42" i="71"/>
  <c r="B116" i="71"/>
  <c r="F116" i="71"/>
  <c r="J116" i="71"/>
  <c r="C38" i="71"/>
  <c r="G38" i="71"/>
  <c r="G45" i="66" s="1"/>
  <c r="N33" i="71"/>
  <c r="P106" i="71"/>
  <c r="D116" i="71"/>
  <c r="H116" i="71"/>
  <c r="L116" i="71"/>
  <c r="B29" i="71"/>
  <c r="B34" i="66" s="1"/>
  <c r="H29" i="71"/>
  <c r="H34" i="66" s="1"/>
  <c r="M29" i="71"/>
  <c r="M34" i="66" s="1"/>
  <c r="E116" i="71"/>
  <c r="I116" i="71"/>
  <c r="M116" i="71"/>
  <c r="A113" i="71"/>
  <c r="A114" i="71"/>
  <c r="A7" i="71"/>
  <c r="N22" i="71"/>
  <c r="A116" i="71"/>
  <c r="A118" i="71" s="1"/>
  <c r="B17" i="71"/>
  <c r="B20" i="66" s="1"/>
  <c r="J17" i="71"/>
  <c r="J20" i="66" s="1"/>
  <c r="J94" i="71"/>
  <c r="J129" i="66" s="1"/>
  <c r="K17" i="71"/>
  <c r="K20" i="66" s="1"/>
  <c r="K47" i="71"/>
  <c r="K57" i="66" s="1"/>
  <c r="E17" i="71"/>
  <c r="E20" i="66" s="1"/>
  <c r="I17" i="71"/>
  <c r="I20" i="66" s="1"/>
  <c r="M17" i="71"/>
  <c r="M20" i="66" s="1"/>
  <c r="C29" i="71"/>
  <c r="C34" i="66" s="1"/>
  <c r="G29" i="71"/>
  <c r="G34" i="66" s="1"/>
  <c r="E47" i="71"/>
  <c r="E57" i="66" s="1"/>
  <c r="I47" i="71"/>
  <c r="I57" i="66" s="1"/>
  <c r="M47" i="71"/>
  <c r="M57" i="66" s="1"/>
  <c r="D56" i="71"/>
  <c r="H56" i="71"/>
  <c r="L56" i="71"/>
  <c r="A60" i="71"/>
  <c r="C65" i="71"/>
  <c r="G65" i="71"/>
  <c r="G81" i="66" s="1"/>
  <c r="E94" i="71"/>
  <c r="E129" i="66" s="1"/>
  <c r="I94" i="71"/>
  <c r="I129" i="66" s="1"/>
  <c r="M94" i="71"/>
  <c r="M129" i="66" s="1"/>
  <c r="D104" i="71"/>
  <c r="D139" i="66" s="1"/>
  <c r="H104" i="71"/>
  <c r="H139" i="66" s="1"/>
  <c r="L104" i="71"/>
  <c r="L139" i="66" s="1"/>
  <c r="F17" i="71"/>
  <c r="F20" i="66" s="1"/>
  <c r="F47" i="71"/>
  <c r="F57" i="66" s="1"/>
  <c r="B94" i="71"/>
  <c r="B129" i="66" s="1"/>
  <c r="F94" i="71"/>
  <c r="F129" i="66" s="1"/>
  <c r="G17" i="71"/>
  <c r="G20" i="66" s="1"/>
  <c r="C47" i="71"/>
  <c r="C57" i="66" s="1"/>
  <c r="G47" i="71"/>
  <c r="G57" i="66" s="1"/>
  <c r="C94" i="71"/>
  <c r="C129" i="66" s="1"/>
  <c r="G94" i="71"/>
  <c r="G129" i="66" s="1"/>
  <c r="K94" i="71"/>
  <c r="K129" i="66" s="1"/>
  <c r="B47" i="71"/>
  <c r="B57" i="66" s="1"/>
  <c r="J47" i="71"/>
  <c r="J57" i="66" s="1"/>
  <c r="C17" i="71"/>
  <c r="C20" i="66" s="1"/>
  <c r="N12" i="71"/>
  <c r="D17" i="71"/>
  <c r="D20" i="66" s="1"/>
  <c r="H17" i="71"/>
  <c r="H20" i="66" s="1"/>
  <c r="D47" i="71"/>
  <c r="D57" i="66" s="1"/>
  <c r="H47" i="71"/>
  <c r="H57" i="66" s="1"/>
  <c r="L47" i="71"/>
  <c r="L57" i="66" s="1"/>
  <c r="C56" i="71"/>
  <c r="G56" i="71"/>
  <c r="D94" i="71"/>
  <c r="D129" i="66" s="1"/>
  <c r="H94" i="71"/>
  <c r="H129" i="66" s="1"/>
  <c r="L94" i="71"/>
  <c r="L129" i="66" s="1"/>
  <c r="C104" i="71"/>
  <c r="G104" i="71"/>
  <c r="G139" i="66" s="1"/>
  <c r="A104" i="71" l="1"/>
  <c r="C139" i="66"/>
  <c r="A74" i="71"/>
  <c r="C93" i="66"/>
  <c r="A65" i="71"/>
  <c r="C81" i="66"/>
  <c r="A38" i="71"/>
  <c r="C45" i="66"/>
  <c r="P108" i="71"/>
  <c r="A56" i="71"/>
  <c r="A29" i="71"/>
  <c r="A17" i="71"/>
  <c r="A94" i="71"/>
  <c r="A47" i="71"/>
  <c r="M188" i="66" l="1"/>
  <c r="M192" i="66" s="1"/>
  <c r="L188" i="66"/>
  <c r="L192" i="66" s="1"/>
  <c r="K188" i="66"/>
  <c r="K192" i="66" s="1"/>
  <c r="J188" i="66"/>
  <c r="J192" i="66" s="1"/>
  <c r="I188" i="66"/>
  <c r="I192" i="66" s="1"/>
  <c r="H188" i="66"/>
  <c r="H192" i="66" s="1"/>
  <c r="G188" i="66"/>
  <c r="G192" i="66" s="1"/>
  <c r="F188" i="66"/>
  <c r="F192" i="66" s="1"/>
  <c r="E188" i="66"/>
  <c r="E192" i="66" s="1"/>
  <c r="D188" i="66"/>
  <c r="D192" i="66" s="1"/>
  <c r="C188" i="66"/>
  <c r="C192" i="66" s="1"/>
  <c r="B188" i="66"/>
  <c r="B192" i="66" l="1"/>
  <c r="A188" i="66"/>
  <c r="N192" i="66" l="1"/>
  <c r="O27" i="70"/>
  <c r="N27" i="70"/>
  <c r="M27" i="70"/>
  <c r="L27" i="70"/>
  <c r="K27" i="70"/>
  <c r="J27" i="70"/>
  <c r="I27" i="70"/>
  <c r="H27" i="70"/>
  <c r="G27" i="70"/>
  <c r="F27" i="70"/>
  <c r="E27" i="70"/>
  <c r="D27" i="70"/>
  <c r="C27" i="70"/>
  <c r="P26" i="70"/>
  <c r="P25" i="70"/>
  <c r="P24" i="70"/>
  <c r="P23" i="70"/>
  <c r="P22" i="70"/>
  <c r="P21" i="70"/>
  <c r="P20" i="70"/>
  <c r="P19" i="70"/>
  <c r="P18" i="70"/>
  <c r="P17" i="70"/>
  <c r="P16" i="70"/>
  <c r="P15" i="70"/>
  <c r="P14" i="70"/>
  <c r="P13" i="70"/>
  <c r="P12" i="70"/>
  <c r="P11" i="70"/>
  <c r="P10" i="70"/>
  <c r="P9" i="70"/>
  <c r="P8" i="70"/>
  <c r="P7" i="70"/>
  <c r="P27" i="70" s="1"/>
  <c r="AJ27" i="3" l="1"/>
  <c r="AJ23" i="3"/>
  <c r="AJ19" i="3"/>
  <c r="AJ15" i="3"/>
  <c r="AJ11" i="3"/>
  <c r="AJ26" i="3"/>
  <c r="AJ18" i="3"/>
  <c r="AJ14" i="3"/>
  <c r="AJ25" i="3"/>
  <c r="AJ21" i="3"/>
  <c r="AJ17" i="3"/>
  <c r="AJ13" i="3"/>
  <c r="AJ28" i="3"/>
  <c r="AJ24" i="3"/>
  <c r="AJ20" i="3"/>
  <c r="AJ16" i="3"/>
  <c r="AJ12" i="3"/>
  <c r="AJ22" i="3"/>
  <c r="AJ10" i="3"/>
  <c r="AJ9" i="3"/>
  <c r="E193" i="66"/>
  <c r="E194" i="66" s="1"/>
  <c r="F24" i="68" s="1"/>
  <c r="I193" i="66"/>
  <c r="I194" i="66" s="1"/>
  <c r="J24" i="68" s="1"/>
  <c r="M193" i="66"/>
  <c r="M194" i="66" s="1"/>
  <c r="N24" i="68" s="1"/>
  <c r="D193" i="66"/>
  <c r="D194" i="66" s="1"/>
  <c r="E24" i="68" s="1"/>
  <c r="J193" i="66"/>
  <c r="J194" i="66" s="1"/>
  <c r="K24" i="68" s="1"/>
  <c r="C193" i="66"/>
  <c r="C194" i="66" s="1"/>
  <c r="D24" i="68" s="1"/>
  <c r="H193" i="66"/>
  <c r="H194" i="66" s="1"/>
  <c r="I24" i="68" s="1"/>
  <c r="G193" i="66"/>
  <c r="G194" i="66" s="1"/>
  <c r="H24" i="68" s="1"/>
  <c r="L193" i="66"/>
  <c r="L194" i="66" s="1"/>
  <c r="M24" i="68" s="1"/>
  <c r="K193" i="66"/>
  <c r="K194" i="66" s="1"/>
  <c r="L24" i="68" s="1"/>
  <c r="F193" i="66"/>
  <c r="F194" i="66" s="1"/>
  <c r="G24" i="68" s="1"/>
  <c r="B193" i="66"/>
  <c r="B194" i="66" s="1"/>
  <c r="C24" i="68" s="1"/>
  <c r="AJ29" i="3" l="1"/>
  <c r="B24" i="67"/>
  <c r="D31" i="41"/>
  <c r="E31" i="41"/>
  <c r="F31" i="41"/>
  <c r="G31" i="41"/>
  <c r="H31" i="41"/>
  <c r="I31" i="41"/>
  <c r="J31" i="41"/>
  <c r="K31" i="41"/>
  <c r="L31" i="41"/>
  <c r="M31" i="41"/>
  <c r="N31" i="41"/>
  <c r="C31" i="41"/>
  <c r="F27" i="42"/>
  <c r="F11" i="42" s="1"/>
  <c r="D27" i="42"/>
  <c r="D10" i="42" s="1"/>
  <c r="E27" i="42"/>
  <c r="E10" i="42" s="1"/>
  <c r="G27" i="42"/>
  <c r="G11" i="42" s="1"/>
  <c r="H27" i="42"/>
  <c r="H11" i="42" s="1"/>
  <c r="I27" i="42"/>
  <c r="I11" i="42" s="1"/>
  <c r="J27" i="42"/>
  <c r="J11" i="42" s="1"/>
  <c r="K27" i="42"/>
  <c r="K11" i="42" s="1"/>
  <c r="L27" i="42"/>
  <c r="L11" i="42" s="1"/>
  <c r="M27" i="42"/>
  <c r="M11" i="42" s="1"/>
  <c r="N27" i="42"/>
  <c r="N11" i="42" s="1"/>
  <c r="C27" i="42"/>
  <c r="C10" i="42" s="1"/>
  <c r="L25" i="42" l="1"/>
  <c r="F25" i="42"/>
  <c r="E12" i="42"/>
  <c r="J17" i="42"/>
  <c r="N20" i="42"/>
  <c r="H21" i="42"/>
  <c r="J25" i="42"/>
  <c r="L9" i="42"/>
  <c r="E20" i="42"/>
  <c r="F9" i="42"/>
  <c r="J9" i="42"/>
  <c r="N12" i="42"/>
  <c r="C16" i="42"/>
  <c r="G20" i="42"/>
  <c r="C7" i="42"/>
  <c r="C19" i="42"/>
  <c r="C11" i="42"/>
  <c r="E23" i="42"/>
  <c r="E15" i="42"/>
  <c r="F13" i="42"/>
  <c r="G21" i="42"/>
  <c r="G13" i="42"/>
  <c r="H25" i="42"/>
  <c r="H9" i="42"/>
  <c r="J20" i="42"/>
  <c r="J12" i="42"/>
  <c r="K24" i="42"/>
  <c r="K16" i="42"/>
  <c r="K8" i="42"/>
  <c r="L13" i="42"/>
  <c r="N21" i="42"/>
  <c r="N13" i="42"/>
  <c r="K13" i="42"/>
  <c r="C23" i="42"/>
  <c r="C15" i="42"/>
  <c r="E7" i="42"/>
  <c r="E19" i="42"/>
  <c r="E11" i="42"/>
  <c r="F21" i="42"/>
  <c r="G25" i="42"/>
  <c r="G17" i="42"/>
  <c r="G9" i="42"/>
  <c r="H17" i="42"/>
  <c r="J24" i="42"/>
  <c r="J16" i="42"/>
  <c r="J8" i="42"/>
  <c r="K20" i="42"/>
  <c r="K12" i="42"/>
  <c r="L21" i="42"/>
  <c r="N25" i="42"/>
  <c r="N17" i="42"/>
  <c r="N9" i="42"/>
  <c r="C24" i="42"/>
  <c r="C8" i="42"/>
  <c r="G12" i="42"/>
  <c r="K21" i="42"/>
  <c r="C20" i="42"/>
  <c r="C12" i="42"/>
  <c r="E24" i="42"/>
  <c r="E16" i="42"/>
  <c r="E8" i="42"/>
  <c r="F17" i="42"/>
  <c r="G24" i="42"/>
  <c r="G16" i="42"/>
  <c r="G8" i="42"/>
  <c r="H13" i="42"/>
  <c r="J21" i="42"/>
  <c r="J13" i="42"/>
  <c r="K25" i="42"/>
  <c r="K17" i="42"/>
  <c r="K9" i="42"/>
  <c r="L17" i="42"/>
  <c r="N24" i="42"/>
  <c r="N16" i="42"/>
  <c r="D20" i="42"/>
  <c r="D12" i="42"/>
  <c r="I25" i="42"/>
  <c r="I13" i="42"/>
  <c r="M25" i="42"/>
  <c r="M13" i="42"/>
  <c r="D23" i="42"/>
  <c r="F24" i="42"/>
  <c r="F12" i="42"/>
  <c r="H20" i="42"/>
  <c r="H8" i="42"/>
  <c r="I20" i="42"/>
  <c r="I8" i="42"/>
  <c r="L16" i="42"/>
  <c r="M24" i="42"/>
  <c r="C25" i="42"/>
  <c r="C21" i="42"/>
  <c r="C17" i="42"/>
  <c r="C13" i="42"/>
  <c r="C9" i="42"/>
  <c r="D25" i="42"/>
  <c r="D21" i="42"/>
  <c r="D17" i="42"/>
  <c r="D13" i="42"/>
  <c r="D9" i="42"/>
  <c r="E25" i="42"/>
  <c r="E21" i="42"/>
  <c r="E17" i="42"/>
  <c r="E13" i="42"/>
  <c r="E9" i="42"/>
  <c r="F26" i="42"/>
  <c r="F22" i="42"/>
  <c r="F18" i="42"/>
  <c r="F14" i="42"/>
  <c r="F10" i="42"/>
  <c r="G26" i="42"/>
  <c r="G22" i="42"/>
  <c r="G18" i="42"/>
  <c r="G14" i="42"/>
  <c r="G10" i="42"/>
  <c r="H26" i="42"/>
  <c r="H22" i="42"/>
  <c r="H18" i="42"/>
  <c r="H14" i="42"/>
  <c r="H10" i="42"/>
  <c r="I26" i="42"/>
  <c r="I22" i="42"/>
  <c r="I18" i="42"/>
  <c r="I14" i="42"/>
  <c r="I10" i="42"/>
  <c r="J26" i="42"/>
  <c r="J22" i="42"/>
  <c r="J18" i="42"/>
  <c r="J14" i="42"/>
  <c r="J10" i="42"/>
  <c r="K26" i="42"/>
  <c r="K22" i="42"/>
  <c r="K18" i="42"/>
  <c r="K14" i="42"/>
  <c r="K10" i="42"/>
  <c r="L26" i="42"/>
  <c r="L22" i="42"/>
  <c r="L18" i="42"/>
  <c r="L14" i="42"/>
  <c r="L10" i="42"/>
  <c r="M26" i="42"/>
  <c r="M22" i="42"/>
  <c r="M18" i="42"/>
  <c r="M14" i="42"/>
  <c r="M10" i="42"/>
  <c r="N26" i="42"/>
  <c r="N22" i="42"/>
  <c r="N18" i="42"/>
  <c r="N14" i="42"/>
  <c r="N10" i="42"/>
  <c r="D24" i="42"/>
  <c r="D8" i="42"/>
  <c r="I21" i="42"/>
  <c r="I9" i="42"/>
  <c r="M17" i="42"/>
  <c r="M9" i="42"/>
  <c r="D15" i="42"/>
  <c r="F16" i="42"/>
  <c r="H12" i="42"/>
  <c r="I12" i="42"/>
  <c r="L20" i="42"/>
  <c r="L8" i="42"/>
  <c r="M16" i="42"/>
  <c r="M12" i="42"/>
  <c r="M8" i="42"/>
  <c r="N8" i="42"/>
  <c r="D16" i="42"/>
  <c r="I17" i="42"/>
  <c r="M21" i="42"/>
  <c r="D7" i="42"/>
  <c r="D19" i="42"/>
  <c r="D11" i="42"/>
  <c r="F20" i="42"/>
  <c r="F8" i="42"/>
  <c r="H24" i="42"/>
  <c r="H16" i="42"/>
  <c r="I24" i="42"/>
  <c r="I16" i="42"/>
  <c r="L24" i="42"/>
  <c r="L12" i="42"/>
  <c r="M20" i="42"/>
  <c r="C26" i="42"/>
  <c r="C22" i="42"/>
  <c r="C18" i="42"/>
  <c r="C14" i="42"/>
  <c r="D26" i="42"/>
  <c r="D22" i="42"/>
  <c r="D18" i="42"/>
  <c r="D14" i="42"/>
  <c r="E26" i="42"/>
  <c r="E22" i="42"/>
  <c r="E18" i="42"/>
  <c r="E14" i="42"/>
  <c r="F7" i="42"/>
  <c r="F23" i="42"/>
  <c r="F19" i="42"/>
  <c r="F15" i="42"/>
  <c r="G7" i="42"/>
  <c r="G23" i="42"/>
  <c r="G19" i="42"/>
  <c r="G15" i="42"/>
  <c r="H7" i="42"/>
  <c r="H23" i="42"/>
  <c r="H19" i="42"/>
  <c r="H15" i="42"/>
  <c r="I7" i="42"/>
  <c r="I23" i="42"/>
  <c r="I19" i="42"/>
  <c r="I15" i="42"/>
  <c r="J7" i="42"/>
  <c r="J23" i="42"/>
  <c r="J19" i="42"/>
  <c r="J15" i="42"/>
  <c r="K7" i="42"/>
  <c r="K23" i="42"/>
  <c r="K19" i="42"/>
  <c r="K15" i="42"/>
  <c r="L7" i="42"/>
  <c r="L23" i="42"/>
  <c r="L19" i="42"/>
  <c r="L15" i="42"/>
  <c r="M7" i="42"/>
  <c r="M23" i="42"/>
  <c r="M19" i="42"/>
  <c r="M15" i="42"/>
  <c r="N7" i="42"/>
  <c r="N23" i="42"/>
  <c r="N19" i="42"/>
  <c r="N15" i="42"/>
  <c r="D32" i="45"/>
  <c r="E32" i="45"/>
  <c r="F32" i="45"/>
  <c r="G32" i="45"/>
  <c r="H32" i="45"/>
  <c r="I32" i="45"/>
  <c r="J32" i="45"/>
  <c r="K32" i="45"/>
  <c r="L32" i="45"/>
  <c r="M32" i="45"/>
  <c r="N32" i="45"/>
  <c r="C32" i="45"/>
  <c r="D32" i="39"/>
  <c r="E32" i="39"/>
  <c r="F32" i="39"/>
  <c r="G32" i="39"/>
  <c r="H32" i="39"/>
  <c r="I32" i="39"/>
  <c r="J32" i="39"/>
  <c r="K32" i="39"/>
  <c r="L32" i="39"/>
  <c r="M32" i="39"/>
  <c r="N32" i="39"/>
  <c r="C32" i="39"/>
  <c r="O31" i="47"/>
  <c r="D31" i="47"/>
  <c r="E31" i="47"/>
  <c r="F31" i="47"/>
  <c r="G31" i="47"/>
  <c r="H31" i="47"/>
  <c r="I31" i="47"/>
  <c r="J31" i="47"/>
  <c r="K31" i="47"/>
  <c r="L31" i="47"/>
  <c r="M31" i="47"/>
  <c r="N31" i="47"/>
  <c r="C31" i="47"/>
  <c r="C30" i="48"/>
  <c r="N175" i="66"/>
  <c r="A175" i="66"/>
  <c r="N169" i="66"/>
  <c r="A169" i="66"/>
  <c r="M163" i="66"/>
  <c r="L163" i="66"/>
  <c r="K163" i="66"/>
  <c r="J163" i="66"/>
  <c r="I163" i="66"/>
  <c r="H163" i="66"/>
  <c r="G163" i="66"/>
  <c r="F163" i="66"/>
  <c r="E163" i="66"/>
  <c r="D163" i="66"/>
  <c r="C163" i="66"/>
  <c r="B163" i="66"/>
  <c r="N163" i="66" s="1"/>
  <c r="A161" i="66"/>
  <c r="A160" i="66"/>
  <c r="A159" i="66"/>
  <c r="M152" i="66"/>
  <c r="L152" i="66"/>
  <c r="K152" i="66"/>
  <c r="J152" i="66"/>
  <c r="I152" i="66"/>
  <c r="H152" i="66"/>
  <c r="G152" i="66"/>
  <c r="F152" i="66"/>
  <c r="E152" i="66"/>
  <c r="D152" i="66"/>
  <c r="C152" i="66"/>
  <c r="B152" i="66"/>
  <c r="N152" i="66" s="1"/>
  <c r="A150" i="66"/>
  <c r="A152" i="66" s="1"/>
  <c r="A143" i="66"/>
  <c r="M141" i="66"/>
  <c r="M143" i="66" s="1"/>
  <c r="L141" i="66"/>
  <c r="L143" i="66" s="1"/>
  <c r="K141" i="66"/>
  <c r="K143" i="66" s="1"/>
  <c r="J141" i="66"/>
  <c r="J143" i="66" s="1"/>
  <c r="I141" i="66"/>
  <c r="I143" i="66" s="1"/>
  <c r="H141" i="66"/>
  <c r="H143" i="66" s="1"/>
  <c r="G141" i="66"/>
  <c r="G143" i="66" s="1"/>
  <c r="F141" i="66"/>
  <c r="F143" i="66" s="1"/>
  <c r="E141" i="66"/>
  <c r="E143" i="66" s="1"/>
  <c r="D141" i="66"/>
  <c r="D143" i="66" s="1"/>
  <c r="B141" i="66"/>
  <c r="A133" i="66"/>
  <c r="M131" i="66"/>
  <c r="M133" i="66" s="1"/>
  <c r="L131" i="66"/>
  <c r="L133" i="66" s="1"/>
  <c r="K131" i="66"/>
  <c r="K133" i="66" s="1"/>
  <c r="J131" i="66"/>
  <c r="J133" i="66" s="1"/>
  <c r="I131" i="66"/>
  <c r="I133" i="66" s="1"/>
  <c r="H131" i="66"/>
  <c r="H133" i="66" s="1"/>
  <c r="G131" i="66"/>
  <c r="G133" i="66" s="1"/>
  <c r="F131" i="66"/>
  <c r="F133" i="66" s="1"/>
  <c r="E131" i="66"/>
  <c r="E133" i="66" s="1"/>
  <c r="D131" i="66"/>
  <c r="D133" i="66" s="1"/>
  <c r="C131" i="66"/>
  <c r="C133" i="66" s="1"/>
  <c r="B131" i="66"/>
  <c r="A122" i="66"/>
  <c r="M120" i="66"/>
  <c r="M122" i="66" s="1"/>
  <c r="L120" i="66"/>
  <c r="L122" i="66" s="1"/>
  <c r="K120" i="66"/>
  <c r="K122" i="66" s="1"/>
  <c r="J120" i="66"/>
  <c r="J122" i="66" s="1"/>
  <c r="I120" i="66"/>
  <c r="I122" i="66" s="1"/>
  <c r="H120" i="66"/>
  <c r="H122" i="66" s="1"/>
  <c r="G120" i="66"/>
  <c r="G122" i="66" s="1"/>
  <c r="F120" i="66"/>
  <c r="F122" i="66" s="1"/>
  <c r="E120" i="66"/>
  <c r="E122" i="66" s="1"/>
  <c r="D120" i="66"/>
  <c r="D122" i="66" s="1"/>
  <c r="B120" i="66"/>
  <c r="A110" i="66"/>
  <c r="A106" i="66"/>
  <c r="A97" i="66"/>
  <c r="M95" i="66"/>
  <c r="M97" i="66" s="1"/>
  <c r="L95" i="66"/>
  <c r="L97" i="66" s="1"/>
  <c r="K95" i="66"/>
  <c r="K97" i="66" s="1"/>
  <c r="J95" i="66"/>
  <c r="J97" i="66" s="1"/>
  <c r="I95" i="66"/>
  <c r="I97" i="66" s="1"/>
  <c r="H95" i="66"/>
  <c r="H97" i="66" s="1"/>
  <c r="G95" i="66"/>
  <c r="G97" i="66" s="1"/>
  <c r="F95" i="66"/>
  <c r="F97" i="66" s="1"/>
  <c r="E95" i="66"/>
  <c r="E97" i="66" s="1"/>
  <c r="D95" i="66"/>
  <c r="D97" i="66" s="1"/>
  <c r="C95" i="66"/>
  <c r="C97" i="66" s="1"/>
  <c r="B95" i="66"/>
  <c r="A85" i="66"/>
  <c r="M83" i="66"/>
  <c r="L83" i="66"/>
  <c r="K83" i="66"/>
  <c r="J83" i="66"/>
  <c r="I83" i="66"/>
  <c r="H83" i="66"/>
  <c r="G83" i="66"/>
  <c r="F83" i="66"/>
  <c r="E83" i="66"/>
  <c r="D83" i="66"/>
  <c r="C83" i="66"/>
  <c r="C85" i="66" s="1"/>
  <c r="D24" i="33" s="1"/>
  <c r="B83" i="66"/>
  <c r="O83" i="66" s="1"/>
  <c r="A73" i="66"/>
  <c r="M71" i="66"/>
  <c r="M73" i="66" s="1"/>
  <c r="L71" i="66"/>
  <c r="L73" i="66" s="1"/>
  <c r="K71" i="66"/>
  <c r="K73" i="66" s="1"/>
  <c r="J71" i="66"/>
  <c r="J73" i="66" s="1"/>
  <c r="I71" i="66"/>
  <c r="I73" i="66" s="1"/>
  <c r="H71" i="66"/>
  <c r="H73" i="66" s="1"/>
  <c r="G71" i="66"/>
  <c r="G73" i="66" s="1"/>
  <c r="F71" i="66"/>
  <c r="F73" i="66" s="1"/>
  <c r="E71" i="66"/>
  <c r="E73" i="66" s="1"/>
  <c r="D71" i="66"/>
  <c r="D73" i="66" s="1"/>
  <c r="B71" i="66"/>
  <c r="A61" i="66"/>
  <c r="M59" i="66"/>
  <c r="M61" i="66" s="1"/>
  <c r="M63" i="66" s="1"/>
  <c r="M64" i="66" s="1"/>
  <c r="L59" i="66"/>
  <c r="L61" i="66" s="1"/>
  <c r="M31" i="39" s="1"/>
  <c r="K59" i="66"/>
  <c r="K61" i="66" s="1"/>
  <c r="K63" i="66" s="1"/>
  <c r="K64" i="66" s="1"/>
  <c r="J59" i="66"/>
  <c r="J61" i="66" s="1"/>
  <c r="J63" i="66" s="1"/>
  <c r="J64" i="66" s="1"/>
  <c r="I59" i="66"/>
  <c r="I61" i="66" s="1"/>
  <c r="H59" i="66"/>
  <c r="H61" i="66" s="1"/>
  <c r="H63" i="66" s="1"/>
  <c r="H64" i="66" s="1"/>
  <c r="G59" i="66"/>
  <c r="G61" i="66" s="1"/>
  <c r="G63" i="66" s="1"/>
  <c r="G64" i="66" s="1"/>
  <c r="F59" i="66"/>
  <c r="F61" i="66" s="1"/>
  <c r="F63" i="66" s="1"/>
  <c r="F64" i="66" s="1"/>
  <c r="E59" i="66"/>
  <c r="E61" i="66" s="1"/>
  <c r="E63" i="66" s="1"/>
  <c r="E64" i="66" s="1"/>
  <c r="D59" i="66"/>
  <c r="D61" i="66" s="1"/>
  <c r="D63" i="66" s="1"/>
  <c r="D64" i="66" s="1"/>
  <c r="C59" i="66"/>
  <c r="C61" i="66" s="1"/>
  <c r="C63" i="66" s="1"/>
  <c r="C64" i="66" s="1"/>
  <c r="B59" i="66"/>
  <c r="A49" i="66"/>
  <c r="M47" i="66"/>
  <c r="M49" i="66" s="1"/>
  <c r="M51" i="66" s="1"/>
  <c r="L47" i="66"/>
  <c r="L49" i="66" s="1"/>
  <c r="L51" i="66" s="1"/>
  <c r="K47" i="66"/>
  <c r="K49" i="66" s="1"/>
  <c r="K51" i="66" s="1"/>
  <c r="J47" i="66"/>
  <c r="J49" i="66" s="1"/>
  <c r="J51" i="66" s="1"/>
  <c r="I47" i="66"/>
  <c r="I49" i="66" s="1"/>
  <c r="I51" i="66" s="1"/>
  <c r="H47" i="66"/>
  <c r="H49" i="66" s="1"/>
  <c r="H51" i="66" s="1"/>
  <c r="G47" i="66"/>
  <c r="G49" i="66" s="1"/>
  <c r="G51" i="66" s="1"/>
  <c r="F47" i="66"/>
  <c r="F49" i="66" s="1"/>
  <c r="F51" i="66" s="1"/>
  <c r="E47" i="66"/>
  <c r="E49" i="66" s="1"/>
  <c r="E51" i="66" s="1"/>
  <c r="D47" i="66"/>
  <c r="D49" i="66" s="1"/>
  <c r="D51" i="66" s="1"/>
  <c r="C47" i="66"/>
  <c r="C49" i="66" s="1"/>
  <c r="C51" i="66" s="1"/>
  <c r="B47" i="66"/>
  <c r="O47" i="66" s="1"/>
  <c r="A38" i="66"/>
  <c r="M36" i="66"/>
  <c r="M38" i="66" s="1"/>
  <c r="L36" i="66"/>
  <c r="L38" i="66" s="1"/>
  <c r="K36" i="66"/>
  <c r="K38" i="66" s="1"/>
  <c r="J36" i="66"/>
  <c r="J38" i="66" s="1"/>
  <c r="I36" i="66"/>
  <c r="I38" i="66" s="1"/>
  <c r="H36" i="66"/>
  <c r="H38" i="66" s="1"/>
  <c r="G36" i="66"/>
  <c r="G38" i="66" s="1"/>
  <c r="F36" i="66"/>
  <c r="F38" i="66" s="1"/>
  <c r="E36" i="66"/>
  <c r="E38" i="66" s="1"/>
  <c r="D36" i="66"/>
  <c r="D38" i="66" s="1"/>
  <c r="C36" i="66"/>
  <c r="C38" i="66" s="1"/>
  <c r="B36" i="66"/>
  <c r="O36" i="66" s="1"/>
  <c r="M22" i="66"/>
  <c r="M24" i="66" s="1"/>
  <c r="L22" i="66"/>
  <c r="K22" i="66"/>
  <c r="K24" i="66" s="1"/>
  <c r="J22" i="66"/>
  <c r="K30" i="47" s="1"/>
  <c r="I22" i="66"/>
  <c r="I24" i="66" s="1"/>
  <c r="H22" i="66"/>
  <c r="G22" i="66"/>
  <c r="G24" i="66" s="1"/>
  <c r="F22" i="66"/>
  <c r="G30" i="47" s="1"/>
  <c r="D22" i="66"/>
  <c r="C22" i="66"/>
  <c r="C24" i="66" s="1"/>
  <c r="B22" i="66"/>
  <c r="A13" i="66"/>
  <c r="M10" i="66"/>
  <c r="L10" i="66"/>
  <c r="K10" i="66"/>
  <c r="K13" i="66" s="1"/>
  <c r="L30" i="51" s="1"/>
  <c r="J10" i="66"/>
  <c r="I10" i="66"/>
  <c r="H10" i="66"/>
  <c r="G10" i="66"/>
  <c r="G13" i="66" s="1"/>
  <c r="H30" i="51" s="1"/>
  <c r="F10" i="66"/>
  <c r="E10" i="66"/>
  <c r="E13" i="66" s="1"/>
  <c r="F30" i="51" s="1"/>
  <c r="C10" i="66"/>
  <c r="B10" i="66"/>
  <c r="O59" i="66" l="1"/>
  <c r="N22" i="66"/>
  <c r="O22" i="66"/>
  <c r="O10" i="66"/>
  <c r="G75" i="66"/>
  <c r="G76" i="66" s="1"/>
  <c r="H30" i="36"/>
  <c r="K75" i="66"/>
  <c r="K76" i="66" s="1"/>
  <c r="L30" i="36"/>
  <c r="A163" i="66"/>
  <c r="E75" i="66"/>
  <c r="E76" i="66" s="1"/>
  <c r="F30" i="36"/>
  <c r="M75" i="66"/>
  <c r="M76" i="66" s="1"/>
  <c r="N30" i="36"/>
  <c r="D75" i="66"/>
  <c r="D76" i="66" s="1"/>
  <c r="E30" i="36"/>
  <c r="H75" i="66"/>
  <c r="H76" i="66" s="1"/>
  <c r="I30" i="36"/>
  <c r="L75" i="66"/>
  <c r="L76" i="66" s="1"/>
  <c r="M30" i="36"/>
  <c r="I75" i="66"/>
  <c r="I76" i="66" s="1"/>
  <c r="J30" i="36"/>
  <c r="F75" i="66"/>
  <c r="F76" i="66" s="1"/>
  <c r="G30" i="36"/>
  <c r="J75" i="66"/>
  <c r="J76" i="66" s="1"/>
  <c r="K30" i="36"/>
  <c r="O32" i="45"/>
  <c r="J29" i="48"/>
  <c r="F52" i="66"/>
  <c r="G27" i="41"/>
  <c r="J52" i="66"/>
  <c r="K27" i="41"/>
  <c r="F99" i="66"/>
  <c r="F100" i="66" s="1"/>
  <c r="G24" i="62"/>
  <c r="J99" i="66"/>
  <c r="J100" i="66" s="1"/>
  <c r="K24" i="62"/>
  <c r="H24" i="67"/>
  <c r="L24" i="67"/>
  <c r="C52" i="66"/>
  <c r="D27" i="41"/>
  <c r="G52" i="66"/>
  <c r="H27" i="41"/>
  <c r="K52" i="66"/>
  <c r="L27" i="41"/>
  <c r="C99" i="66"/>
  <c r="C100" i="66" s="1"/>
  <c r="D24" i="62"/>
  <c r="G99" i="66"/>
  <c r="G100" i="66" s="1"/>
  <c r="H24" i="62"/>
  <c r="K99" i="66"/>
  <c r="K100" i="66" s="1"/>
  <c r="L24" i="62"/>
  <c r="E24" i="67"/>
  <c r="I24" i="67"/>
  <c r="M24" i="67"/>
  <c r="D52" i="66"/>
  <c r="E27" i="41"/>
  <c r="H52" i="66"/>
  <c r="I27" i="41"/>
  <c r="L52" i="66"/>
  <c r="M27" i="41"/>
  <c r="D99" i="66"/>
  <c r="D100" i="66" s="1"/>
  <c r="E24" i="62"/>
  <c r="H99" i="66"/>
  <c r="H100" i="66" s="1"/>
  <c r="I24" i="62"/>
  <c r="L99" i="66"/>
  <c r="L100" i="66" s="1"/>
  <c r="M24" i="62"/>
  <c r="F24" i="67"/>
  <c r="J24" i="67"/>
  <c r="N24" i="67"/>
  <c r="E52" i="66"/>
  <c r="F27" i="41"/>
  <c r="I52" i="66"/>
  <c r="J27" i="41"/>
  <c r="M52" i="66"/>
  <c r="N27" i="41"/>
  <c r="E99" i="66"/>
  <c r="E100" i="66" s="1"/>
  <c r="F24" i="62"/>
  <c r="I99" i="66"/>
  <c r="I100" i="66" s="1"/>
  <c r="J24" i="62"/>
  <c r="M99" i="66"/>
  <c r="M100" i="66" s="1"/>
  <c r="N24" i="62"/>
  <c r="G24" i="67"/>
  <c r="K24" i="67"/>
  <c r="F40" i="66"/>
  <c r="F41" i="66" s="1"/>
  <c r="F31" i="45"/>
  <c r="J8" i="45"/>
  <c r="J5" i="43" s="1"/>
  <c r="J12" i="45"/>
  <c r="J9" i="43" s="1"/>
  <c r="J16" i="45"/>
  <c r="J13" i="43" s="1"/>
  <c r="J20" i="45"/>
  <c r="J17" i="43" s="1"/>
  <c r="J24" i="45"/>
  <c r="J21" i="43" s="1"/>
  <c r="J9" i="45"/>
  <c r="J6" i="43" s="1"/>
  <c r="J13" i="45"/>
  <c r="J10" i="43" s="1"/>
  <c r="J17" i="45"/>
  <c r="J14" i="43" s="1"/>
  <c r="J21" i="45"/>
  <c r="J18" i="43" s="1"/>
  <c r="J25" i="45"/>
  <c r="J22" i="43" s="1"/>
  <c r="J10" i="45"/>
  <c r="J7" i="43" s="1"/>
  <c r="J14" i="45"/>
  <c r="J11" i="43" s="1"/>
  <c r="J18" i="45"/>
  <c r="J15" i="43" s="1"/>
  <c r="J22" i="45"/>
  <c r="J19" i="43" s="1"/>
  <c r="J26" i="45"/>
  <c r="J23" i="43" s="1"/>
  <c r="J11" i="45"/>
  <c r="J8" i="43" s="1"/>
  <c r="J7" i="45"/>
  <c r="J4" i="43" s="1"/>
  <c r="J15" i="45"/>
  <c r="J12" i="43" s="1"/>
  <c r="J23" i="45"/>
  <c r="J20" i="43" s="1"/>
  <c r="J19" i="45"/>
  <c r="J16" i="43" s="1"/>
  <c r="M40" i="66"/>
  <c r="M41" i="66" s="1"/>
  <c r="D31" i="45"/>
  <c r="D33" i="45" s="1"/>
  <c r="H8" i="45"/>
  <c r="H5" i="43" s="1"/>
  <c r="H12" i="45"/>
  <c r="H9" i="43" s="1"/>
  <c r="H16" i="45"/>
  <c r="H13" i="43" s="1"/>
  <c r="H20" i="45"/>
  <c r="H17" i="43" s="1"/>
  <c r="H24" i="45"/>
  <c r="H21" i="43" s="1"/>
  <c r="H9" i="45"/>
  <c r="H6" i="43" s="1"/>
  <c r="H13" i="45"/>
  <c r="H10" i="43" s="1"/>
  <c r="H17" i="45"/>
  <c r="H14" i="43" s="1"/>
  <c r="H21" i="45"/>
  <c r="H18" i="43" s="1"/>
  <c r="H25" i="45"/>
  <c r="H22" i="43" s="1"/>
  <c r="H10" i="45"/>
  <c r="H7" i="43" s="1"/>
  <c r="H14" i="45"/>
  <c r="H11" i="43" s="1"/>
  <c r="H18" i="45"/>
  <c r="H15" i="43" s="1"/>
  <c r="H22" i="45"/>
  <c r="H19" i="43" s="1"/>
  <c r="H26" i="45"/>
  <c r="H23" i="43" s="1"/>
  <c r="H19" i="45"/>
  <c r="H16" i="43" s="1"/>
  <c r="H23" i="45"/>
  <c r="H20" i="43" s="1"/>
  <c r="H15" i="45"/>
  <c r="H12" i="43" s="1"/>
  <c r="H7" i="45"/>
  <c r="H4" i="43" s="1"/>
  <c r="H11" i="45"/>
  <c r="H8" i="43" s="1"/>
  <c r="L31" i="45"/>
  <c r="L33" i="45" s="1"/>
  <c r="K31" i="45"/>
  <c r="K33" i="45" s="1"/>
  <c r="E31" i="45"/>
  <c r="E33" i="45" s="1"/>
  <c r="I31" i="45"/>
  <c r="I33" i="45" s="1"/>
  <c r="M31" i="45"/>
  <c r="M33" i="45" s="1"/>
  <c r="F33" i="45"/>
  <c r="N30" i="47"/>
  <c r="F31" i="39"/>
  <c r="L40" i="66"/>
  <c r="L41" i="66" s="1"/>
  <c r="N31" i="39"/>
  <c r="J30" i="47"/>
  <c r="N31" i="45"/>
  <c r="H40" i="66"/>
  <c r="N29" i="48"/>
  <c r="D40" i="66"/>
  <c r="I40" i="66"/>
  <c r="J27" i="44" s="1"/>
  <c r="J31" i="45"/>
  <c r="D24" i="66"/>
  <c r="D26" i="66" s="1"/>
  <c r="E30" i="47"/>
  <c r="E29" i="48"/>
  <c r="H24" i="66"/>
  <c r="H26" i="66" s="1"/>
  <c r="I30" i="47"/>
  <c r="I29" i="48"/>
  <c r="L24" i="66"/>
  <c r="L26" i="66" s="1"/>
  <c r="M30" i="47"/>
  <c r="M29" i="48"/>
  <c r="I63" i="66"/>
  <c r="I64" i="66" s="1"/>
  <c r="J31" i="39"/>
  <c r="L63" i="66"/>
  <c r="L64" i="66" s="1"/>
  <c r="F24" i="66"/>
  <c r="F26" i="66" s="1"/>
  <c r="A34" i="66"/>
  <c r="A45" i="66"/>
  <c r="A69" i="66"/>
  <c r="A118" i="66"/>
  <c r="L29" i="48"/>
  <c r="H29" i="48"/>
  <c r="D29" i="48"/>
  <c r="L30" i="47"/>
  <c r="H30" i="47"/>
  <c r="D30" i="47"/>
  <c r="L31" i="39"/>
  <c r="H31" i="39"/>
  <c r="D31" i="39"/>
  <c r="H31" i="45"/>
  <c r="J40" i="66"/>
  <c r="K27" i="44" s="1"/>
  <c r="F181" i="66"/>
  <c r="J181" i="66"/>
  <c r="J24" i="66"/>
  <c r="C108" i="66"/>
  <c r="A129" i="66"/>
  <c r="C29" i="48"/>
  <c r="K29" i="48"/>
  <c r="G29" i="48"/>
  <c r="C30" i="47"/>
  <c r="K31" i="39"/>
  <c r="G31" i="39"/>
  <c r="G31" i="45"/>
  <c r="E40" i="66"/>
  <c r="F27" i="44" s="1"/>
  <c r="A7" i="66"/>
  <c r="A20" i="66"/>
  <c r="B24" i="66"/>
  <c r="A57" i="66"/>
  <c r="C71" i="66"/>
  <c r="C73" i="66" s="1"/>
  <c r="A93" i="66"/>
  <c r="I31" i="39"/>
  <c r="E31" i="39"/>
  <c r="K40" i="66"/>
  <c r="L27" i="44" s="1"/>
  <c r="G40" i="66"/>
  <c r="H27" i="44" s="1"/>
  <c r="C40" i="66"/>
  <c r="D41" i="66"/>
  <c r="H181" i="66"/>
  <c r="H13" i="66"/>
  <c r="I30" i="51" s="1"/>
  <c r="L181" i="66"/>
  <c r="L13" i="66"/>
  <c r="M30" i="51" s="1"/>
  <c r="I181" i="66"/>
  <c r="I13" i="66"/>
  <c r="J30" i="51" s="1"/>
  <c r="K15" i="66"/>
  <c r="K16" i="66" s="1"/>
  <c r="E15" i="66"/>
  <c r="E16" i="66" s="1"/>
  <c r="C26" i="66"/>
  <c r="C25" i="66"/>
  <c r="G26" i="66"/>
  <c r="G25" i="66"/>
  <c r="K26" i="66"/>
  <c r="K25" i="66"/>
  <c r="I26" i="66"/>
  <c r="I25" i="66"/>
  <c r="M26" i="66"/>
  <c r="M25" i="66"/>
  <c r="M181" i="66"/>
  <c r="J13" i="66"/>
  <c r="K30" i="51" s="1"/>
  <c r="A139" i="66"/>
  <c r="C141" i="66"/>
  <c r="C143" i="66" s="1"/>
  <c r="D10" i="66"/>
  <c r="F13" i="66"/>
  <c r="G30" i="51" s="1"/>
  <c r="E22" i="66"/>
  <c r="N36" i="66"/>
  <c r="B38" i="66"/>
  <c r="O38" i="66" s="1"/>
  <c r="N59" i="66"/>
  <c r="B61" i="66"/>
  <c r="E108" i="66"/>
  <c r="E85" i="66"/>
  <c r="F24" i="33" s="1"/>
  <c r="I108" i="66"/>
  <c r="I85" i="66"/>
  <c r="J24" i="33" s="1"/>
  <c r="M108" i="66"/>
  <c r="M85" i="66"/>
  <c r="N24" i="33" s="1"/>
  <c r="G15" i="66"/>
  <c r="G16" i="66" s="1"/>
  <c r="B133" i="66"/>
  <c r="N133" i="66" s="1"/>
  <c r="N131" i="66"/>
  <c r="B181" i="66"/>
  <c r="N10" i="66"/>
  <c r="K181" i="66"/>
  <c r="B13" i="66"/>
  <c r="M13" i="66"/>
  <c r="N30" i="51" s="1"/>
  <c r="G181" i="66"/>
  <c r="C13" i="66"/>
  <c r="D30" i="51" s="1"/>
  <c r="N47" i="66"/>
  <c r="B49" i="66"/>
  <c r="O49" i="66" s="1"/>
  <c r="B73" i="66"/>
  <c r="N71" i="66"/>
  <c r="C87" i="66"/>
  <c r="C88" i="66" s="1"/>
  <c r="C110" i="66"/>
  <c r="C112" i="66" s="1"/>
  <c r="C113" i="66" s="1"/>
  <c r="G85" i="66"/>
  <c r="G108" i="66"/>
  <c r="K85" i="66"/>
  <c r="L24" i="33" s="1"/>
  <c r="K108" i="66"/>
  <c r="D108" i="66"/>
  <c r="D85" i="66"/>
  <c r="E24" i="33" s="1"/>
  <c r="H108" i="66"/>
  <c r="H85" i="66"/>
  <c r="I24" i="33" s="1"/>
  <c r="L108" i="66"/>
  <c r="L85" i="66"/>
  <c r="M24" i="33" s="1"/>
  <c r="B143" i="66"/>
  <c r="N143" i="66" s="1"/>
  <c r="N141" i="66"/>
  <c r="B85" i="66"/>
  <c r="B108" i="66"/>
  <c r="N108" i="66" s="1"/>
  <c r="N83" i="66"/>
  <c r="F85" i="66"/>
  <c r="G24" i="33" s="1"/>
  <c r="F108" i="66"/>
  <c r="J85" i="66"/>
  <c r="K24" i="33" s="1"/>
  <c r="J108" i="66"/>
  <c r="B122" i="66"/>
  <c r="N120" i="66"/>
  <c r="C120" i="66"/>
  <c r="C122" i="66" s="1"/>
  <c r="B97" i="66"/>
  <c r="C24" i="62" s="1"/>
  <c r="N95" i="66"/>
  <c r="A81" i="66"/>
  <c r="C30" i="36" l="1"/>
  <c r="O73" i="66"/>
  <c r="O71" i="66"/>
  <c r="G5" i="67"/>
  <c r="G6" i="67"/>
  <c r="G7" i="67"/>
  <c r="G8" i="67"/>
  <c r="G9" i="67"/>
  <c r="G10" i="67"/>
  <c r="G11" i="67"/>
  <c r="G12" i="67"/>
  <c r="G13" i="67"/>
  <c r="G14" i="67"/>
  <c r="G15" i="67"/>
  <c r="G16" i="67"/>
  <c r="G17" i="67"/>
  <c r="G18" i="67"/>
  <c r="G19" i="67"/>
  <c r="G20" i="67"/>
  <c r="G21" i="67"/>
  <c r="G22" i="67"/>
  <c r="G23" i="67"/>
  <c r="G4" i="67"/>
  <c r="M8" i="67"/>
  <c r="M12" i="67"/>
  <c r="M16" i="67"/>
  <c r="M20" i="67"/>
  <c r="M21" i="67"/>
  <c r="M23" i="67"/>
  <c r="M7" i="67"/>
  <c r="M11" i="67"/>
  <c r="M15" i="67"/>
  <c r="M19" i="67"/>
  <c r="M4" i="67"/>
  <c r="M6" i="67"/>
  <c r="M10" i="67"/>
  <c r="M14" i="67"/>
  <c r="M18" i="67"/>
  <c r="M22" i="67"/>
  <c r="M5" i="67"/>
  <c r="M9" i="67"/>
  <c r="M13" i="67"/>
  <c r="M17" i="67"/>
  <c r="H6" i="67"/>
  <c r="H8" i="67"/>
  <c r="H10" i="67"/>
  <c r="H11" i="67"/>
  <c r="H13" i="67"/>
  <c r="H15" i="67"/>
  <c r="H17" i="67"/>
  <c r="H19" i="67"/>
  <c r="H21" i="67"/>
  <c r="H5" i="67"/>
  <c r="H7" i="67"/>
  <c r="H9" i="67"/>
  <c r="H12" i="67"/>
  <c r="H14" i="67"/>
  <c r="H16" i="67"/>
  <c r="H18" i="67"/>
  <c r="H20" i="67"/>
  <c r="H4" i="67"/>
  <c r="H23" i="67"/>
  <c r="H22" i="67"/>
  <c r="I7" i="67"/>
  <c r="I11" i="67"/>
  <c r="I15" i="67"/>
  <c r="I19" i="67"/>
  <c r="I22" i="67"/>
  <c r="I6" i="67"/>
  <c r="I10" i="67"/>
  <c r="I14" i="67"/>
  <c r="I18" i="67"/>
  <c r="I5" i="67"/>
  <c r="I9" i="67"/>
  <c r="I13" i="67"/>
  <c r="I17" i="67"/>
  <c r="I21" i="67"/>
  <c r="I23" i="67"/>
  <c r="I8" i="67"/>
  <c r="I12" i="67"/>
  <c r="I16" i="67"/>
  <c r="I20" i="67"/>
  <c r="I4" i="67"/>
  <c r="J4" i="67"/>
  <c r="J5" i="67"/>
  <c r="J6" i="67"/>
  <c r="J7" i="67"/>
  <c r="J8" i="67"/>
  <c r="J9" i="67"/>
  <c r="J10" i="67"/>
  <c r="J11" i="67"/>
  <c r="J12" i="67"/>
  <c r="J13" i="67"/>
  <c r="J14" i="67"/>
  <c r="J15" i="67"/>
  <c r="J16" i="67"/>
  <c r="J17" i="67"/>
  <c r="J18" i="67"/>
  <c r="J19" i="67"/>
  <c r="J20" i="67"/>
  <c r="J21" i="67"/>
  <c r="J22" i="67"/>
  <c r="J23" i="67"/>
  <c r="E6" i="67"/>
  <c r="E10" i="67"/>
  <c r="E14" i="67"/>
  <c r="E18" i="67"/>
  <c r="E23" i="67"/>
  <c r="E5" i="67"/>
  <c r="E9" i="67"/>
  <c r="E13" i="67"/>
  <c r="E17" i="67"/>
  <c r="E21" i="67"/>
  <c r="E4" i="67"/>
  <c r="E8" i="67"/>
  <c r="E12" i="67"/>
  <c r="E16" i="67"/>
  <c r="E20" i="67"/>
  <c r="E22" i="67"/>
  <c r="E7" i="67"/>
  <c r="E11" i="67"/>
  <c r="E15" i="67"/>
  <c r="E19" i="67"/>
  <c r="N4" i="67"/>
  <c r="N5" i="67"/>
  <c r="N6" i="67"/>
  <c r="N7" i="67"/>
  <c r="N8" i="67"/>
  <c r="N9" i="67"/>
  <c r="N10" i="67"/>
  <c r="N11" i="67"/>
  <c r="N12" i="67"/>
  <c r="N13" i="67"/>
  <c r="N14" i="67"/>
  <c r="N15" i="67"/>
  <c r="N16" i="67"/>
  <c r="N17" i="67"/>
  <c r="N18" i="67"/>
  <c r="N19" i="67"/>
  <c r="N20" i="67"/>
  <c r="N21" i="67"/>
  <c r="N22" i="67"/>
  <c r="N23" i="67"/>
  <c r="K5" i="67"/>
  <c r="K6" i="67"/>
  <c r="K7" i="67"/>
  <c r="K8" i="67"/>
  <c r="K9" i="67"/>
  <c r="K10" i="67"/>
  <c r="K11" i="67"/>
  <c r="K12" i="67"/>
  <c r="K13" i="67"/>
  <c r="K14" i="67"/>
  <c r="K15" i="67"/>
  <c r="K16" i="67"/>
  <c r="K17" i="67"/>
  <c r="K18" i="67"/>
  <c r="K19" i="67"/>
  <c r="K20" i="67"/>
  <c r="K21" i="67"/>
  <c r="K22" i="67"/>
  <c r="K23" i="67"/>
  <c r="K4" i="67"/>
  <c r="F4" i="67"/>
  <c r="F5" i="67"/>
  <c r="F6" i="67"/>
  <c r="F7" i="67"/>
  <c r="F8" i="67"/>
  <c r="F9" i="67"/>
  <c r="F10" i="67"/>
  <c r="F11" i="67"/>
  <c r="F12" i="67"/>
  <c r="F13" i="67"/>
  <c r="F14" i="67"/>
  <c r="F15" i="67"/>
  <c r="F16" i="67"/>
  <c r="F17" i="67"/>
  <c r="F18" i="67"/>
  <c r="F19" i="67"/>
  <c r="F20" i="67"/>
  <c r="F21" i="67"/>
  <c r="F22" i="67"/>
  <c r="F23" i="67"/>
  <c r="L5" i="67"/>
  <c r="L7" i="67"/>
  <c r="L9" i="67"/>
  <c r="L12" i="67"/>
  <c r="L14" i="67"/>
  <c r="L16" i="67"/>
  <c r="L18" i="67"/>
  <c r="L20" i="67"/>
  <c r="L6" i="67"/>
  <c r="L8" i="67"/>
  <c r="L10" i="67"/>
  <c r="L11" i="67"/>
  <c r="L13" i="67"/>
  <c r="L15" i="67"/>
  <c r="L17" i="67"/>
  <c r="L19" i="67"/>
  <c r="L22" i="67"/>
  <c r="L4" i="67"/>
  <c r="L21" i="67"/>
  <c r="L23" i="67"/>
  <c r="C24" i="33"/>
  <c r="O85" i="66"/>
  <c r="C31" i="39"/>
  <c r="O31" i="39" s="1"/>
  <c r="O61" i="66"/>
  <c r="C30" i="51"/>
  <c r="O13" i="66"/>
  <c r="C75" i="66"/>
  <c r="C76" i="66" s="1"/>
  <c r="D30" i="36"/>
  <c r="H25" i="66"/>
  <c r="H27" i="66" s="1"/>
  <c r="M27" i="66"/>
  <c r="C24" i="67"/>
  <c r="J30" i="41"/>
  <c r="J30" i="42"/>
  <c r="M30" i="41"/>
  <c r="M30" i="42"/>
  <c r="E30" i="41"/>
  <c r="E30" i="42"/>
  <c r="H30" i="41"/>
  <c r="H30" i="42"/>
  <c r="K30" i="41"/>
  <c r="K30" i="42"/>
  <c r="D24" i="67"/>
  <c r="G183" i="66"/>
  <c r="H24" i="33"/>
  <c r="N30" i="41"/>
  <c r="N30" i="42"/>
  <c r="F30" i="41"/>
  <c r="F30" i="42"/>
  <c r="I30" i="41"/>
  <c r="I30" i="42"/>
  <c r="L30" i="41"/>
  <c r="L30" i="42"/>
  <c r="D30" i="41"/>
  <c r="D30" i="42"/>
  <c r="G30" i="41"/>
  <c r="G30" i="42"/>
  <c r="N122" i="66"/>
  <c r="L11" i="44"/>
  <c r="L15" i="44"/>
  <c r="L19" i="44"/>
  <c r="L23" i="44"/>
  <c r="L7" i="44"/>
  <c r="L8" i="44"/>
  <c r="L12" i="44"/>
  <c r="L16" i="44"/>
  <c r="L20" i="44"/>
  <c r="L24" i="44"/>
  <c r="L14" i="44"/>
  <c r="L22" i="44"/>
  <c r="L10" i="44"/>
  <c r="L18" i="44"/>
  <c r="L26" i="44"/>
  <c r="L13" i="44"/>
  <c r="L21" i="44"/>
  <c r="L9" i="44"/>
  <c r="L17" i="44"/>
  <c r="L25" i="44"/>
  <c r="K8" i="45"/>
  <c r="K5" i="43" s="1"/>
  <c r="K12" i="45"/>
  <c r="K9" i="43" s="1"/>
  <c r="K16" i="45"/>
  <c r="K13" i="43" s="1"/>
  <c r="K20" i="45"/>
  <c r="K17" i="43" s="1"/>
  <c r="K24" i="45"/>
  <c r="K21" i="43" s="1"/>
  <c r="K9" i="45"/>
  <c r="K6" i="43" s="1"/>
  <c r="K13" i="45"/>
  <c r="K10" i="43" s="1"/>
  <c r="K17" i="45"/>
  <c r="K14" i="43" s="1"/>
  <c r="K21" i="45"/>
  <c r="K18" i="43" s="1"/>
  <c r="K25" i="45"/>
  <c r="K22" i="43" s="1"/>
  <c r="K10" i="45"/>
  <c r="K7" i="43" s="1"/>
  <c r="K14" i="45"/>
  <c r="K11" i="43" s="1"/>
  <c r="K18" i="45"/>
  <c r="K15" i="43" s="1"/>
  <c r="K22" i="45"/>
  <c r="K19" i="43" s="1"/>
  <c r="K26" i="45"/>
  <c r="K23" i="43" s="1"/>
  <c r="K15" i="45"/>
  <c r="K12" i="43" s="1"/>
  <c r="K19" i="45"/>
  <c r="K16" i="43" s="1"/>
  <c r="K11" i="45"/>
  <c r="K8" i="43" s="1"/>
  <c r="K7" i="45"/>
  <c r="K4" i="43" s="1"/>
  <c r="K23" i="45"/>
  <c r="K20" i="43" s="1"/>
  <c r="F11" i="44"/>
  <c r="F15" i="44"/>
  <c r="F19" i="44"/>
  <c r="F8" i="44"/>
  <c r="F13" i="44"/>
  <c r="F18" i="44"/>
  <c r="F23" i="44"/>
  <c r="F7" i="44"/>
  <c r="F10" i="44"/>
  <c r="F16" i="44"/>
  <c r="F21" i="44"/>
  <c r="F25" i="44"/>
  <c r="F17" i="44"/>
  <c r="F26" i="44"/>
  <c r="F9" i="44"/>
  <c r="F20" i="44"/>
  <c r="F12" i="44"/>
  <c r="F22" i="44"/>
  <c r="F14" i="44"/>
  <c r="F24" i="44"/>
  <c r="J11" i="44"/>
  <c r="J15" i="44"/>
  <c r="J13" i="59" s="1"/>
  <c r="J19" i="44"/>
  <c r="J17" i="59" s="1"/>
  <c r="J23" i="44"/>
  <c r="J21" i="59" s="1"/>
  <c r="J7" i="44"/>
  <c r="J5" i="59" s="1"/>
  <c r="J8" i="44"/>
  <c r="J6" i="59" s="1"/>
  <c r="J12" i="44"/>
  <c r="J10" i="59" s="1"/>
  <c r="J16" i="44"/>
  <c r="J14" i="59" s="1"/>
  <c r="J20" i="44"/>
  <c r="J18" i="59" s="1"/>
  <c r="J24" i="44"/>
  <c r="J22" i="59" s="1"/>
  <c r="J14" i="44"/>
  <c r="J12" i="59" s="1"/>
  <c r="J22" i="44"/>
  <c r="J20" i="59" s="1"/>
  <c r="J10" i="44"/>
  <c r="J8" i="59" s="1"/>
  <c r="J18" i="44"/>
  <c r="J16" i="59" s="1"/>
  <c r="J26" i="44"/>
  <c r="J24" i="59" s="1"/>
  <c r="J13" i="44"/>
  <c r="J11" i="59" s="1"/>
  <c r="J21" i="44"/>
  <c r="J19" i="59" s="1"/>
  <c r="J25" i="44"/>
  <c r="J23" i="59" s="1"/>
  <c r="J9" i="44"/>
  <c r="J7" i="59" s="1"/>
  <c r="J17" i="44"/>
  <c r="J15" i="59" s="1"/>
  <c r="M32" i="44"/>
  <c r="M27" i="44"/>
  <c r="C31" i="45"/>
  <c r="C33" i="45" s="1"/>
  <c r="K11" i="44"/>
  <c r="K15" i="44"/>
  <c r="K19" i="44"/>
  <c r="K23" i="44"/>
  <c r="K7" i="44"/>
  <c r="K8" i="44"/>
  <c r="K12" i="44"/>
  <c r="K16" i="44"/>
  <c r="K20" i="44"/>
  <c r="K24" i="44"/>
  <c r="K10" i="44"/>
  <c r="K18" i="44"/>
  <c r="K26" i="44"/>
  <c r="K14" i="44"/>
  <c r="K22" i="44"/>
  <c r="K9" i="44"/>
  <c r="K17" i="44"/>
  <c r="K25" i="44"/>
  <c r="K23" i="59" s="1"/>
  <c r="K13" i="44"/>
  <c r="K21" i="44"/>
  <c r="I8" i="45"/>
  <c r="I5" i="43" s="1"/>
  <c r="I12" i="45"/>
  <c r="I9" i="43" s="1"/>
  <c r="I16" i="45"/>
  <c r="I13" i="43" s="1"/>
  <c r="I20" i="45"/>
  <c r="I17" i="43" s="1"/>
  <c r="I24" i="45"/>
  <c r="I21" i="43" s="1"/>
  <c r="I9" i="45"/>
  <c r="I6" i="43" s="1"/>
  <c r="I13" i="45"/>
  <c r="I10" i="43" s="1"/>
  <c r="I17" i="45"/>
  <c r="I14" i="43" s="1"/>
  <c r="I21" i="45"/>
  <c r="I18" i="43" s="1"/>
  <c r="I25" i="45"/>
  <c r="I22" i="43" s="1"/>
  <c r="I10" i="45"/>
  <c r="I7" i="43" s="1"/>
  <c r="I14" i="45"/>
  <c r="I11" i="43" s="1"/>
  <c r="I18" i="45"/>
  <c r="I15" i="43" s="1"/>
  <c r="I22" i="45"/>
  <c r="I19" i="43" s="1"/>
  <c r="I26" i="45"/>
  <c r="I23" i="43" s="1"/>
  <c r="I23" i="45"/>
  <c r="I20" i="43" s="1"/>
  <c r="I11" i="45"/>
  <c r="I8" i="43" s="1"/>
  <c r="I7" i="45"/>
  <c r="I4" i="43" s="1"/>
  <c r="I19" i="45"/>
  <c r="I16" i="43" s="1"/>
  <c r="I15" i="45"/>
  <c r="I12" i="43" s="1"/>
  <c r="D8" i="45"/>
  <c r="D5" i="43" s="1"/>
  <c r="D12" i="45"/>
  <c r="D9" i="43" s="1"/>
  <c r="D16" i="45"/>
  <c r="D13" i="43" s="1"/>
  <c r="D20" i="45"/>
  <c r="D17" i="43" s="1"/>
  <c r="D24" i="45"/>
  <c r="D21" i="43" s="1"/>
  <c r="D9" i="45"/>
  <c r="D6" i="43" s="1"/>
  <c r="D13" i="45"/>
  <c r="D10" i="43" s="1"/>
  <c r="D17" i="45"/>
  <c r="D14" i="43" s="1"/>
  <c r="D21" i="45"/>
  <c r="D18" i="43" s="1"/>
  <c r="D25" i="45"/>
  <c r="D22" i="43" s="1"/>
  <c r="D10" i="45"/>
  <c r="D7" i="43" s="1"/>
  <c r="D14" i="45"/>
  <c r="D11" i="43" s="1"/>
  <c r="D18" i="45"/>
  <c r="D15" i="43" s="1"/>
  <c r="D22" i="45"/>
  <c r="D19" i="43" s="1"/>
  <c r="D26" i="45"/>
  <c r="D23" i="43" s="1"/>
  <c r="D19" i="45"/>
  <c r="D16" i="43" s="1"/>
  <c r="D23" i="45"/>
  <c r="D20" i="43" s="1"/>
  <c r="D15" i="45"/>
  <c r="D12" i="43" s="1"/>
  <c r="D11" i="45"/>
  <c r="D8" i="43" s="1"/>
  <c r="D7" i="45"/>
  <c r="D4" i="43" s="1"/>
  <c r="J9" i="59"/>
  <c r="F8" i="45"/>
  <c r="F5" i="43" s="1"/>
  <c r="F12" i="45"/>
  <c r="F9" i="43" s="1"/>
  <c r="F16" i="45"/>
  <c r="F13" i="43" s="1"/>
  <c r="F20" i="45"/>
  <c r="F17" i="43" s="1"/>
  <c r="F24" i="45"/>
  <c r="F21" i="43" s="1"/>
  <c r="F9" i="45"/>
  <c r="F13" i="45"/>
  <c r="F10" i="43" s="1"/>
  <c r="F17" i="45"/>
  <c r="F21" i="45"/>
  <c r="F18" i="43" s="1"/>
  <c r="F25" i="45"/>
  <c r="F22" i="43" s="1"/>
  <c r="F10" i="45"/>
  <c r="F7" i="43" s="1"/>
  <c r="F14" i="45"/>
  <c r="F11" i="43" s="1"/>
  <c r="F18" i="45"/>
  <c r="F15" i="43" s="1"/>
  <c r="F22" i="45"/>
  <c r="F19" i="43" s="1"/>
  <c r="F26" i="45"/>
  <c r="F23" i="43" s="1"/>
  <c r="F11" i="45"/>
  <c r="F7" i="45"/>
  <c r="F4" i="43" s="1"/>
  <c r="F15" i="45"/>
  <c r="F12" i="43" s="1"/>
  <c r="F23" i="45"/>
  <c r="F20" i="43" s="1"/>
  <c r="F19" i="45"/>
  <c r="F16" i="43" s="1"/>
  <c r="D32" i="44"/>
  <c r="D27" i="44"/>
  <c r="E32" i="44"/>
  <c r="E27" i="44"/>
  <c r="M8" i="45"/>
  <c r="M5" i="43" s="1"/>
  <c r="M12" i="45"/>
  <c r="M9" i="43" s="1"/>
  <c r="M16" i="45"/>
  <c r="M13" i="43" s="1"/>
  <c r="M20" i="45"/>
  <c r="M17" i="43" s="1"/>
  <c r="M24" i="45"/>
  <c r="M21" i="43" s="1"/>
  <c r="M9" i="45"/>
  <c r="M6" i="43" s="1"/>
  <c r="M13" i="45"/>
  <c r="M10" i="43" s="1"/>
  <c r="M17" i="45"/>
  <c r="M14" i="43" s="1"/>
  <c r="M21" i="45"/>
  <c r="M18" i="43" s="1"/>
  <c r="M25" i="45"/>
  <c r="M22" i="43" s="1"/>
  <c r="M10" i="45"/>
  <c r="M7" i="43" s="1"/>
  <c r="M14" i="45"/>
  <c r="M11" i="43" s="1"/>
  <c r="M18" i="45"/>
  <c r="M15" i="43" s="1"/>
  <c r="M22" i="45"/>
  <c r="M19" i="43" s="1"/>
  <c r="M26" i="45"/>
  <c r="M23" i="43" s="1"/>
  <c r="M23" i="45"/>
  <c r="M20" i="43" s="1"/>
  <c r="M11" i="45"/>
  <c r="M8" i="43" s="1"/>
  <c r="M7" i="45"/>
  <c r="M4" i="43" s="1"/>
  <c r="M19" i="45"/>
  <c r="M16" i="43" s="1"/>
  <c r="M15" i="45"/>
  <c r="M12" i="43" s="1"/>
  <c r="E8" i="45"/>
  <c r="E5" i="43" s="1"/>
  <c r="E12" i="45"/>
  <c r="E9" i="43" s="1"/>
  <c r="E16" i="45"/>
  <c r="E13" i="43" s="1"/>
  <c r="E20" i="45"/>
  <c r="E17" i="43" s="1"/>
  <c r="E24" i="45"/>
  <c r="E21" i="43" s="1"/>
  <c r="E9" i="45"/>
  <c r="E6" i="43" s="1"/>
  <c r="E13" i="45"/>
  <c r="E10" i="43" s="1"/>
  <c r="E17" i="45"/>
  <c r="E14" i="43" s="1"/>
  <c r="E21" i="45"/>
  <c r="E18" i="43" s="1"/>
  <c r="E25" i="45"/>
  <c r="E22" i="43" s="1"/>
  <c r="E10" i="45"/>
  <c r="E7" i="43" s="1"/>
  <c r="E14" i="45"/>
  <c r="E11" i="43" s="1"/>
  <c r="E18" i="45"/>
  <c r="E15" i="43" s="1"/>
  <c r="E22" i="45"/>
  <c r="E19" i="43" s="1"/>
  <c r="E26" i="45"/>
  <c r="E23" i="43" s="1"/>
  <c r="E23" i="45"/>
  <c r="E20" i="43" s="1"/>
  <c r="E11" i="45"/>
  <c r="E8" i="43" s="1"/>
  <c r="E7" i="45"/>
  <c r="E4" i="43" s="1"/>
  <c r="E19" i="45"/>
  <c r="E16" i="43" s="1"/>
  <c r="E15" i="45"/>
  <c r="E12" i="43" s="1"/>
  <c r="L8" i="45"/>
  <c r="L5" i="43" s="1"/>
  <c r="L12" i="45"/>
  <c r="L9" i="43" s="1"/>
  <c r="L16" i="45"/>
  <c r="L13" i="43" s="1"/>
  <c r="L20" i="45"/>
  <c r="L17" i="43" s="1"/>
  <c r="L24" i="45"/>
  <c r="L21" i="43" s="1"/>
  <c r="L9" i="45"/>
  <c r="L6" i="43" s="1"/>
  <c r="L13" i="45"/>
  <c r="L10" i="43" s="1"/>
  <c r="L17" i="45"/>
  <c r="L14" i="43" s="1"/>
  <c r="L21" i="45"/>
  <c r="L18" i="43" s="1"/>
  <c r="L25" i="45"/>
  <c r="L22" i="43" s="1"/>
  <c r="L10" i="45"/>
  <c r="L7" i="43" s="1"/>
  <c r="L14" i="45"/>
  <c r="L11" i="43" s="1"/>
  <c r="L18" i="45"/>
  <c r="L22" i="45"/>
  <c r="L19" i="43" s="1"/>
  <c r="L26" i="45"/>
  <c r="L23" i="43" s="1"/>
  <c r="L19" i="45"/>
  <c r="L16" i="43" s="1"/>
  <c r="L23" i="45"/>
  <c r="L20" i="43" s="1"/>
  <c r="L15" i="45"/>
  <c r="L12" i="43" s="1"/>
  <c r="L11" i="45"/>
  <c r="L8" i="43" s="1"/>
  <c r="L7" i="45"/>
  <c r="L4" i="43" s="1"/>
  <c r="N8" i="45"/>
  <c r="N5" i="43" s="1"/>
  <c r="N12" i="45"/>
  <c r="N9" i="43" s="1"/>
  <c r="N16" i="45"/>
  <c r="N13" i="43" s="1"/>
  <c r="N20" i="45"/>
  <c r="N17" i="43" s="1"/>
  <c r="N24" i="45"/>
  <c r="N21" i="43" s="1"/>
  <c r="N9" i="45"/>
  <c r="N6" i="43" s="1"/>
  <c r="N13" i="45"/>
  <c r="N10" i="43" s="1"/>
  <c r="N17" i="45"/>
  <c r="N14" i="43" s="1"/>
  <c r="N21" i="45"/>
  <c r="N18" i="43" s="1"/>
  <c r="N25" i="45"/>
  <c r="N22" i="43" s="1"/>
  <c r="N10" i="45"/>
  <c r="N7" i="43" s="1"/>
  <c r="N14" i="45"/>
  <c r="N11" i="43" s="1"/>
  <c r="N18" i="45"/>
  <c r="N15" i="43" s="1"/>
  <c r="N22" i="45"/>
  <c r="N19" i="43" s="1"/>
  <c r="N26" i="45"/>
  <c r="N23" i="43" s="1"/>
  <c r="N11" i="45"/>
  <c r="N8" i="43" s="1"/>
  <c r="N7" i="45"/>
  <c r="N4" i="43" s="1"/>
  <c r="N15" i="45"/>
  <c r="N12" i="43" s="1"/>
  <c r="N23" i="45"/>
  <c r="N20" i="43" s="1"/>
  <c r="N19" i="45"/>
  <c r="N16" i="43" s="1"/>
  <c r="G8" i="45"/>
  <c r="G5" i="43" s="1"/>
  <c r="G12" i="45"/>
  <c r="G9" i="43" s="1"/>
  <c r="G16" i="45"/>
  <c r="G13" i="43" s="1"/>
  <c r="G20" i="45"/>
  <c r="G17" i="43" s="1"/>
  <c r="G24" i="45"/>
  <c r="G21" i="43" s="1"/>
  <c r="G9" i="45"/>
  <c r="G6" i="43" s="1"/>
  <c r="G13" i="45"/>
  <c r="G10" i="43" s="1"/>
  <c r="G17" i="45"/>
  <c r="G14" i="43" s="1"/>
  <c r="G21" i="45"/>
  <c r="G18" i="43" s="1"/>
  <c r="G25" i="45"/>
  <c r="G22" i="43" s="1"/>
  <c r="G10" i="45"/>
  <c r="G7" i="43" s="1"/>
  <c r="G14" i="45"/>
  <c r="G11" i="43" s="1"/>
  <c r="G18" i="45"/>
  <c r="G15" i="43" s="1"/>
  <c r="G22" i="45"/>
  <c r="G19" i="43" s="1"/>
  <c r="G26" i="45"/>
  <c r="G23" i="43" s="1"/>
  <c r="G15" i="45"/>
  <c r="G12" i="43" s="1"/>
  <c r="G19" i="45"/>
  <c r="G16" i="43" s="1"/>
  <c r="G11" i="45"/>
  <c r="G8" i="43" s="1"/>
  <c r="G7" i="45"/>
  <c r="G4" i="43" s="1"/>
  <c r="G23" i="45"/>
  <c r="G20" i="43" s="1"/>
  <c r="H11" i="44"/>
  <c r="H9" i="59" s="1"/>
  <c r="H15" i="44"/>
  <c r="H13" i="59" s="1"/>
  <c r="H19" i="44"/>
  <c r="H17" i="59" s="1"/>
  <c r="H23" i="44"/>
  <c r="H21" i="59" s="1"/>
  <c r="H8" i="44"/>
  <c r="H6" i="59" s="1"/>
  <c r="H12" i="44"/>
  <c r="H10" i="59" s="1"/>
  <c r="H16" i="44"/>
  <c r="H14" i="59" s="1"/>
  <c r="H20" i="44"/>
  <c r="H18" i="59" s="1"/>
  <c r="H24" i="44"/>
  <c r="H22" i="59" s="1"/>
  <c r="H14" i="44"/>
  <c r="H12" i="59" s="1"/>
  <c r="H22" i="44"/>
  <c r="H20" i="59" s="1"/>
  <c r="H7" i="44"/>
  <c r="H5" i="59" s="1"/>
  <c r="H10" i="44"/>
  <c r="H8" i="59" s="1"/>
  <c r="H18" i="44"/>
  <c r="H16" i="59" s="1"/>
  <c r="H26" i="44"/>
  <c r="H24" i="59" s="1"/>
  <c r="H13" i="44"/>
  <c r="H11" i="59" s="1"/>
  <c r="H17" i="44"/>
  <c r="H15" i="59" s="1"/>
  <c r="H21" i="44"/>
  <c r="H19" i="59" s="1"/>
  <c r="H9" i="44"/>
  <c r="H7" i="59" s="1"/>
  <c r="H25" i="44"/>
  <c r="H23" i="59" s="1"/>
  <c r="C41" i="66"/>
  <c r="I32" i="44"/>
  <c r="I27" i="44"/>
  <c r="N32" i="44"/>
  <c r="N27" i="44"/>
  <c r="G32" i="44"/>
  <c r="G27" i="44"/>
  <c r="G41" i="66"/>
  <c r="H32" i="44"/>
  <c r="H41" i="66"/>
  <c r="K27" i="66"/>
  <c r="C27" i="66"/>
  <c r="D25" i="66"/>
  <c r="D27" i="66" s="1"/>
  <c r="G33" i="45"/>
  <c r="J41" i="66"/>
  <c r="K32" i="44"/>
  <c r="J33" i="45"/>
  <c r="N33" i="45"/>
  <c r="K41" i="66"/>
  <c r="L32" i="44"/>
  <c r="F25" i="66"/>
  <c r="F27" i="66" s="1"/>
  <c r="E41" i="66"/>
  <c r="F32" i="44"/>
  <c r="H33" i="45"/>
  <c r="I41" i="66"/>
  <c r="J32" i="44"/>
  <c r="E24" i="66"/>
  <c r="E26" i="66" s="1"/>
  <c r="F30" i="47"/>
  <c r="O30" i="47" s="1"/>
  <c r="F29" i="48"/>
  <c r="O29" i="48" s="1"/>
  <c r="E181" i="66"/>
  <c r="L25" i="66"/>
  <c r="L27" i="66" s="1"/>
  <c r="B26" i="66"/>
  <c r="B25" i="66"/>
  <c r="J26" i="66"/>
  <c r="J25" i="66"/>
  <c r="J110" i="66"/>
  <c r="J112" i="66" s="1"/>
  <c r="J113" i="66" s="1"/>
  <c r="J87" i="66"/>
  <c r="J88" i="66" s="1"/>
  <c r="E87" i="66"/>
  <c r="E88" i="66" s="1"/>
  <c r="E110" i="66"/>
  <c r="E112" i="66" s="1"/>
  <c r="E113" i="66" s="1"/>
  <c r="I183" i="66"/>
  <c r="I15" i="66"/>
  <c r="I16" i="66" s="1"/>
  <c r="F110" i="66"/>
  <c r="F112" i="66" s="1"/>
  <c r="F113" i="66" s="1"/>
  <c r="F87" i="66"/>
  <c r="F88" i="66" s="1"/>
  <c r="H110" i="66"/>
  <c r="H112" i="66" s="1"/>
  <c r="H113" i="66" s="1"/>
  <c r="H87" i="66"/>
  <c r="H88" i="66" s="1"/>
  <c r="N49" i="66"/>
  <c r="B51" i="66"/>
  <c r="M183" i="66"/>
  <c r="M15" i="66"/>
  <c r="M16" i="66" s="1"/>
  <c r="I87" i="66"/>
  <c r="I88" i="66" s="1"/>
  <c r="I110" i="66"/>
  <c r="I112" i="66" s="1"/>
  <c r="I113" i="66" s="1"/>
  <c r="N61" i="66"/>
  <c r="B63" i="66"/>
  <c r="B64" i="66" s="1"/>
  <c r="C181" i="66"/>
  <c r="I27" i="66"/>
  <c r="G27" i="66"/>
  <c r="L183" i="66"/>
  <c r="L15" i="66"/>
  <c r="L16" i="66" s="1"/>
  <c r="D181" i="66"/>
  <c r="D13" i="66"/>
  <c r="E30" i="51" s="1"/>
  <c r="N97" i="66"/>
  <c r="B99" i="66"/>
  <c r="B100" i="66" s="1"/>
  <c r="K87" i="66"/>
  <c r="K88" i="66" s="1"/>
  <c r="K110" i="66"/>
  <c r="K112" i="66" s="1"/>
  <c r="K113" i="66" s="1"/>
  <c r="B183" i="66"/>
  <c r="N13" i="66"/>
  <c r="B15" i="66"/>
  <c r="B16" i="66" s="1"/>
  <c r="F183" i="66"/>
  <c r="F15" i="66"/>
  <c r="F16" i="66" s="1"/>
  <c r="E183" i="66"/>
  <c r="K183" i="66"/>
  <c r="L110" i="66"/>
  <c r="L112" i="66" s="1"/>
  <c r="L113" i="66" s="1"/>
  <c r="L87" i="66"/>
  <c r="L88" i="66" s="1"/>
  <c r="D110" i="66"/>
  <c r="D112" i="66" s="1"/>
  <c r="D113" i="66" s="1"/>
  <c r="D87" i="66"/>
  <c r="D88" i="66" s="1"/>
  <c r="C183" i="66"/>
  <c r="C15" i="66"/>
  <c r="C16" i="66" s="1"/>
  <c r="M87" i="66"/>
  <c r="M88" i="66" s="1"/>
  <c r="M110" i="66"/>
  <c r="M112" i="66" s="1"/>
  <c r="M113" i="66" s="1"/>
  <c r="N38" i="66"/>
  <c r="B40" i="66"/>
  <c r="C27" i="44" s="1"/>
  <c r="J183" i="66"/>
  <c r="J15" i="66"/>
  <c r="J16" i="66" s="1"/>
  <c r="H183" i="66"/>
  <c r="H15" i="66"/>
  <c r="H16" i="66" s="1"/>
  <c r="B110" i="66"/>
  <c r="N85" i="66"/>
  <c r="B87" i="66"/>
  <c r="B88" i="66" s="1"/>
  <c r="G87" i="66"/>
  <c r="G88" i="66" s="1"/>
  <c r="G110" i="66"/>
  <c r="G112" i="66" s="1"/>
  <c r="G113" i="66" s="1"/>
  <c r="N73" i="66"/>
  <c r="B75" i="66"/>
  <c r="B76" i="66" s="1"/>
  <c r="N177" i="66"/>
  <c r="F9" i="59" l="1"/>
  <c r="F8" i="43"/>
  <c r="F15" i="59"/>
  <c r="F14" i="43"/>
  <c r="F7" i="59"/>
  <c r="F6" i="43"/>
  <c r="L16" i="59"/>
  <c r="L15" i="43"/>
  <c r="C5" i="67"/>
  <c r="C6" i="67"/>
  <c r="C7" i="67"/>
  <c r="C8" i="67"/>
  <c r="C9" i="67"/>
  <c r="C10" i="67"/>
  <c r="C11" i="67"/>
  <c r="C12" i="67"/>
  <c r="C13" i="67"/>
  <c r="C14" i="67"/>
  <c r="C15" i="67"/>
  <c r="C16" i="67"/>
  <c r="C17" i="67"/>
  <c r="C18" i="67"/>
  <c r="C19" i="67"/>
  <c r="C20" i="67"/>
  <c r="C21" i="67"/>
  <c r="C22" i="67"/>
  <c r="C23" i="67"/>
  <c r="C4" i="67"/>
  <c r="D5" i="67"/>
  <c r="D7" i="67"/>
  <c r="D9" i="67"/>
  <c r="D12" i="67"/>
  <c r="D14" i="67"/>
  <c r="D16" i="67"/>
  <c r="D18" i="67"/>
  <c r="D20" i="67"/>
  <c r="D6" i="67"/>
  <c r="D8" i="67"/>
  <c r="D10" i="67"/>
  <c r="D11" i="67"/>
  <c r="D13" i="67"/>
  <c r="D15" i="67"/>
  <c r="D17" i="67"/>
  <c r="D19" i="67"/>
  <c r="D21" i="67"/>
  <c r="D22" i="67"/>
  <c r="D4" i="67"/>
  <c r="D23" i="67"/>
  <c r="L24" i="59"/>
  <c r="K14" i="59"/>
  <c r="K5" i="59"/>
  <c r="K15" i="59"/>
  <c r="K18" i="59"/>
  <c r="L23" i="59"/>
  <c r="F13" i="59"/>
  <c r="K10" i="59"/>
  <c r="K9" i="59"/>
  <c r="K7" i="59"/>
  <c r="K22" i="59"/>
  <c r="L8" i="59"/>
  <c r="F11" i="59"/>
  <c r="K19" i="59"/>
  <c r="K16" i="59"/>
  <c r="F12" i="59"/>
  <c r="F19" i="59"/>
  <c r="F21" i="59"/>
  <c r="K8" i="59"/>
  <c r="L15" i="59"/>
  <c r="L17" i="59"/>
  <c r="F24" i="59"/>
  <c r="F14" i="59"/>
  <c r="B52" i="66"/>
  <c r="C27" i="41"/>
  <c r="O24" i="68"/>
  <c r="F18" i="59"/>
  <c r="K12" i="59"/>
  <c r="L14" i="59"/>
  <c r="L21" i="59"/>
  <c r="O22" i="67"/>
  <c r="AK27" i="3" s="1"/>
  <c r="O24" i="67"/>
  <c r="I11" i="44"/>
  <c r="I9" i="59" s="1"/>
  <c r="I15" i="44"/>
  <c r="I13" i="59" s="1"/>
  <c r="I19" i="44"/>
  <c r="I17" i="59" s="1"/>
  <c r="I23" i="44"/>
  <c r="I21" i="59" s="1"/>
  <c r="I7" i="44"/>
  <c r="I5" i="59" s="1"/>
  <c r="I8" i="44"/>
  <c r="I6" i="59" s="1"/>
  <c r="I12" i="44"/>
  <c r="I10" i="59" s="1"/>
  <c r="I16" i="44"/>
  <c r="I14" i="59" s="1"/>
  <c r="I20" i="44"/>
  <c r="I18" i="59" s="1"/>
  <c r="I24" i="44"/>
  <c r="I22" i="59" s="1"/>
  <c r="I10" i="44"/>
  <c r="I8" i="59" s="1"/>
  <c r="I18" i="44"/>
  <c r="I16" i="59" s="1"/>
  <c r="I26" i="44"/>
  <c r="I24" i="59" s="1"/>
  <c r="I14" i="44"/>
  <c r="I12" i="59" s="1"/>
  <c r="I22" i="44"/>
  <c r="I20" i="59" s="1"/>
  <c r="I17" i="44"/>
  <c r="I15" i="59" s="1"/>
  <c r="I21" i="44"/>
  <c r="I19" i="59" s="1"/>
  <c r="I9" i="44"/>
  <c r="I7" i="59" s="1"/>
  <c r="I25" i="44"/>
  <c r="I23" i="59" s="1"/>
  <c r="I13" i="44"/>
  <c r="I11" i="59" s="1"/>
  <c r="K21" i="59"/>
  <c r="C9" i="45"/>
  <c r="C6" i="43" s="1"/>
  <c r="C13" i="45"/>
  <c r="C10" i="43" s="1"/>
  <c r="C17" i="45"/>
  <c r="C14" i="43" s="1"/>
  <c r="C21" i="45"/>
  <c r="C18" i="43" s="1"/>
  <c r="C25" i="45"/>
  <c r="C22" i="43" s="1"/>
  <c r="C10" i="45"/>
  <c r="C7" i="43" s="1"/>
  <c r="C14" i="45"/>
  <c r="C11" i="43" s="1"/>
  <c r="C18" i="45"/>
  <c r="C15" i="43" s="1"/>
  <c r="C22" i="45"/>
  <c r="C19" i="43" s="1"/>
  <c r="C26" i="45"/>
  <c r="C23" i="43" s="1"/>
  <c r="C11" i="45"/>
  <c r="C8" i="43" s="1"/>
  <c r="C15" i="45"/>
  <c r="C12" i="43" s="1"/>
  <c r="C19" i="45"/>
  <c r="C16" i="43" s="1"/>
  <c r="C23" i="45"/>
  <c r="C20" i="43" s="1"/>
  <c r="C7" i="45"/>
  <c r="C4" i="43" s="1"/>
  <c r="C20" i="45"/>
  <c r="C17" i="43" s="1"/>
  <c r="C8" i="45"/>
  <c r="C5" i="43" s="1"/>
  <c r="C24" i="45"/>
  <c r="C21" i="43" s="1"/>
  <c r="C16" i="45"/>
  <c r="C13" i="43" s="1"/>
  <c r="C12" i="45"/>
  <c r="C9" i="43" s="1"/>
  <c r="M11" i="44"/>
  <c r="M9" i="59" s="1"/>
  <c r="M15" i="44"/>
  <c r="M13" i="59" s="1"/>
  <c r="M19" i="44"/>
  <c r="M17" i="59" s="1"/>
  <c r="M23" i="44"/>
  <c r="M21" i="59" s="1"/>
  <c r="M7" i="44"/>
  <c r="M5" i="59" s="1"/>
  <c r="M8" i="44"/>
  <c r="M6" i="59" s="1"/>
  <c r="M12" i="44"/>
  <c r="M10" i="59" s="1"/>
  <c r="M16" i="44"/>
  <c r="M14" i="59" s="1"/>
  <c r="M20" i="44"/>
  <c r="M18" i="59" s="1"/>
  <c r="M24" i="44"/>
  <c r="M22" i="59" s="1"/>
  <c r="M10" i="44"/>
  <c r="M8" i="59" s="1"/>
  <c r="M18" i="44"/>
  <c r="M16" i="59" s="1"/>
  <c r="M26" i="44"/>
  <c r="M24" i="59" s="1"/>
  <c r="M14" i="44"/>
  <c r="M12" i="59" s="1"/>
  <c r="M22" i="44"/>
  <c r="M20" i="59" s="1"/>
  <c r="M9" i="44"/>
  <c r="M7" i="59" s="1"/>
  <c r="M17" i="44"/>
  <c r="M15" i="59" s="1"/>
  <c r="M25" i="44"/>
  <c r="M23" i="59" s="1"/>
  <c r="M21" i="44"/>
  <c r="M19" i="59" s="1"/>
  <c r="M13" i="44"/>
  <c r="M11" i="59" s="1"/>
  <c r="F20" i="59"/>
  <c r="F16" i="59"/>
  <c r="K24" i="59"/>
  <c r="L10" i="59"/>
  <c r="C9" i="44"/>
  <c r="C13" i="44"/>
  <c r="C11" i="59" s="1"/>
  <c r="C17" i="44"/>
  <c r="C15" i="59" s="1"/>
  <c r="C21" i="44"/>
  <c r="C25" i="44"/>
  <c r="C10" i="44"/>
  <c r="C15" i="44"/>
  <c r="C20" i="44"/>
  <c r="C26" i="44"/>
  <c r="C24" i="44"/>
  <c r="C22" i="59" s="1"/>
  <c r="C11" i="44"/>
  <c r="C9" i="59" s="1"/>
  <c r="C16" i="44"/>
  <c r="C22" i="44"/>
  <c r="C7" i="44"/>
  <c r="C14" i="44"/>
  <c r="C12" i="44"/>
  <c r="C18" i="44"/>
  <c r="C23" i="44"/>
  <c r="C21" i="59" s="1"/>
  <c r="C8" i="44"/>
  <c r="C19" i="44"/>
  <c r="N11" i="44"/>
  <c r="N9" i="59" s="1"/>
  <c r="N15" i="44"/>
  <c r="N13" i="59" s="1"/>
  <c r="N19" i="44"/>
  <c r="N17" i="59" s="1"/>
  <c r="N23" i="44"/>
  <c r="N21" i="59" s="1"/>
  <c r="N7" i="44"/>
  <c r="N5" i="59" s="1"/>
  <c r="N8" i="44"/>
  <c r="N6" i="59" s="1"/>
  <c r="N12" i="44"/>
  <c r="N10" i="59" s="1"/>
  <c r="N16" i="44"/>
  <c r="N14" i="59" s="1"/>
  <c r="N20" i="44"/>
  <c r="N18" i="59" s="1"/>
  <c r="N24" i="44"/>
  <c r="N22" i="59" s="1"/>
  <c r="N14" i="44"/>
  <c r="N12" i="59" s="1"/>
  <c r="N22" i="44"/>
  <c r="N20" i="59" s="1"/>
  <c r="N10" i="44"/>
  <c r="N8" i="59" s="1"/>
  <c r="N18" i="44"/>
  <c r="N16" i="59" s="1"/>
  <c r="N26" i="44"/>
  <c r="N24" i="59" s="1"/>
  <c r="N13" i="44"/>
  <c r="N11" i="59" s="1"/>
  <c r="N21" i="44"/>
  <c r="N19" i="59" s="1"/>
  <c r="N9" i="44"/>
  <c r="N7" i="59" s="1"/>
  <c r="N17" i="44"/>
  <c r="N15" i="59" s="1"/>
  <c r="N25" i="44"/>
  <c r="N23" i="59" s="1"/>
  <c r="L12" i="59"/>
  <c r="E11" i="44"/>
  <c r="E9" i="59" s="1"/>
  <c r="E15" i="44"/>
  <c r="E13" i="59" s="1"/>
  <c r="E19" i="44"/>
  <c r="E17" i="59" s="1"/>
  <c r="E23" i="44"/>
  <c r="E21" i="59" s="1"/>
  <c r="E9" i="44"/>
  <c r="E7" i="59" s="1"/>
  <c r="E13" i="44"/>
  <c r="E11" i="59" s="1"/>
  <c r="E17" i="44"/>
  <c r="E15" i="59" s="1"/>
  <c r="E21" i="44"/>
  <c r="E19" i="59" s="1"/>
  <c r="E25" i="44"/>
  <c r="E23" i="59" s="1"/>
  <c r="E14" i="44"/>
  <c r="E12" i="59" s="1"/>
  <c r="E22" i="44"/>
  <c r="E20" i="59" s="1"/>
  <c r="E8" i="44"/>
  <c r="E6" i="59" s="1"/>
  <c r="E16" i="44"/>
  <c r="E14" i="59" s="1"/>
  <c r="E24" i="44"/>
  <c r="E22" i="59" s="1"/>
  <c r="E10" i="44"/>
  <c r="E8" i="59" s="1"/>
  <c r="E18" i="44"/>
  <c r="E16" i="59" s="1"/>
  <c r="E26" i="44"/>
  <c r="E24" i="59" s="1"/>
  <c r="E12" i="44"/>
  <c r="E10" i="59" s="1"/>
  <c r="E20" i="44"/>
  <c r="E18" i="59" s="1"/>
  <c r="E7" i="44"/>
  <c r="E5" i="59" s="1"/>
  <c r="F17" i="59"/>
  <c r="K11" i="59"/>
  <c r="K17" i="59"/>
  <c r="F10" i="59"/>
  <c r="F8" i="59"/>
  <c r="K20" i="59"/>
  <c r="L7" i="59"/>
  <c r="L22" i="59"/>
  <c r="L6" i="59"/>
  <c r="L13" i="59"/>
  <c r="D9" i="44"/>
  <c r="D7" i="59" s="1"/>
  <c r="D13" i="44"/>
  <c r="D11" i="59" s="1"/>
  <c r="D17" i="44"/>
  <c r="D15" i="59" s="1"/>
  <c r="D21" i="44"/>
  <c r="D19" i="59" s="1"/>
  <c r="D25" i="44"/>
  <c r="D23" i="59" s="1"/>
  <c r="D8" i="44"/>
  <c r="D6" i="59" s="1"/>
  <c r="D14" i="44"/>
  <c r="D12" i="59" s="1"/>
  <c r="D19" i="44"/>
  <c r="D17" i="59" s="1"/>
  <c r="D24" i="44"/>
  <c r="D22" i="59" s="1"/>
  <c r="D23" i="44"/>
  <c r="D21" i="59" s="1"/>
  <c r="D10" i="44"/>
  <c r="D8" i="59" s="1"/>
  <c r="D15" i="44"/>
  <c r="D13" i="59" s="1"/>
  <c r="D20" i="44"/>
  <c r="D18" i="59" s="1"/>
  <c r="D26" i="44"/>
  <c r="D24" i="59" s="1"/>
  <c r="D18" i="44"/>
  <c r="D16" i="59" s="1"/>
  <c r="D11" i="44"/>
  <c r="D9" i="59" s="1"/>
  <c r="D16" i="44"/>
  <c r="D14" i="59" s="1"/>
  <c r="D22" i="44"/>
  <c r="D20" i="59" s="1"/>
  <c r="D7" i="44"/>
  <c r="D12" i="44"/>
  <c r="D10" i="59" s="1"/>
  <c r="L20" i="59"/>
  <c r="G8" i="44"/>
  <c r="G6" i="59" s="1"/>
  <c r="G12" i="44"/>
  <c r="G10" i="59" s="1"/>
  <c r="G16" i="44"/>
  <c r="G14" i="59" s="1"/>
  <c r="G20" i="44"/>
  <c r="G18" i="59" s="1"/>
  <c r="G24" i="44"/>
  <c r="G22" i="59" s="1"/>
  <c r="G7" i="44"/>
  <c r="G5" i="59" s="1"/>
  <c r="G9" i="44"/>
  <c r="G7" i="59" s="1"/>
  <c r="G13" i="44"/>
  <c r="G11" i="59" s="1"/>
  <c r="G17" i="44"/>
  <c r="G15" i="59" s="1"/>
  <c r="G21" i="44"/>
  <c r="G19" i="59" s="1"/>
  <c r="G25" i="44"/>
  <c r="G23" i="59" s="1"/>
  <c r="G11" i="44"/>
  <c r="G9" i="59" s="1"/>
  <c r="G19" i="44"/>
  <c r="G17" i="59" s="1"/>
  <c r="G15" i="44"/>
  <c r="G13" i="59" s="1"/>
  <c r="G23" i="44"/>
  <c r="G21" i="59" s="1"/>
  <c r="G10" i="44"/>
  <c r="G8" i="59" s="1"/>
  <c r="G26" i="44"/>
  <c r="G24" i="59" s="1"/>
  <c r="G14" i="44"/>
  <c r="G12" i="59" s="1"/>
  <c r="G18" i="44"/>
  <c r="G16" i="59" s="1"/>
  <c r="G22" i="44"/>
  <c r="G20" i="59" s="1"/>
  <c r="L11" i="59"/>
  <c r="K13" i="59"/>
  <c r="F22" i="59"/>
  <c r="F23" i="59"/>
  <c r="F5" i="59"/>
  <c r="F6" i="59"/>
  <c r="K6" i="59"/>
  <c r="L19" i="59"/>
  <c r="L18" i="59"/>
  <c r="L5" i="59"/>
  <c r="L9" i="59"/>
  <c r="B41" i="66"/>
  <c r="C32" i="44"/>
  <c r="O32" i="44" s="1"/>
  <c r="J27" i="66"/>
  <c r="E25" i="66"/>
  <c r="E27" i="66" s="1"/>
  <c r="B27" i="66"/>
  <c r="A181" i="66"/>
  <c r="N110" i="66"/>
  <c r="B112" i="66"/>
  <c r="B113" i="66" s="1"/>
  <c r="N179" i="66"/>
  <c r="D15" i="66"/>
  <c r="D16" i="66" s="1"/>
  <c r="D183" i="66"/>
  <c r="A183" i="66" s="1"/>
  <c r="O6" i="67" l="1"/>
  <c r="AK11" i="3" s="1"/>
  <c r="O8" i="67"/>
  <c r="AK13" i="3" s="1"/>
  <c r="O7" i="67"/>
  <c r="AK12" i="3" s="1"/>
  <c r="O18" i="67"/>
  <c r="AK23" i="3" s="1"/>
  <c r="O10" i="67"/>
  <c r="AK15" i="3" s="1"/>
  <c r="C5" i="59"/>
  <c r="O12" i="67"/>
  <c r="AK17" i="3" s="1"/>
  <c r="O16" i="67"/>
  <c r="AK21" i="3" s="1"/>
  <c r="O11" i="67"/>
  <c r="AK16" i="3" s="1"/>
  <c r="O14" i="67"/>
  <c r="AK19" i="3" s="1"/>
  <c r="C14" i="59"/>
  <c r="O4" i="67"/>
  <c r="O21" i="67"/>
  <c r="AK26" i="3" s="1"/>
  <c r="O17" i="67"/>
  <c r="AK22" i="3" s="1"/>
  <c r="C6" i="59"/>
  <c r="O19" i="67"/>
  <c r="AK24" i="3" s="1"/>
  <c r="O13" i="67"/>
  <c r="AK18" i="3" s="1"/>
  <c r="C17" i="59"/>
  <c r="C16" i="59"/>
  <c r="O5" i="67"/>
  <c r="AK10" i="3" s="1"/>
  <c r="O9" i="67"/>
  <c r="AK14" i="3" s="1"/>
  <c r="O23" i="67"/>
  <c r="AK28" i="3" s="1"/>
  <c r="C23" i="59"/>
  <c r="C7" i="59"/>
  <c r="O20" i="67"/>
  <c r="AK25" i="3" s="1"/>
  <c r="C10" i="59"/>
  <c r="C18" i="59"/>
  <c r="C19" i="59"/>
  <c r="O15" i="67"/>
  <c r="AK20" i="3" s="1"/>
  <c r="C30" i="41"/>
  <c r="C30" i="42"/>
  <c r="C13" i="59"/>
  <c r="C12" i="59"/>
  <c r="C24" i="59"/>
  <c r="C8" i="59"/>
  <c r="C20" i="59"/>
  <c r="G10" i="65"/>
  <c r="G11" i="65"/>
  <c r="G12" i="65"/>
  <c r="G13" i="65"/>
  <c r="G14" i="65"/>
  <c r="G15" i="65"/>
  <c r="G16" i="65"/>
  <c r="G17" i="65"/>
  <c r="G18" i="65"/>
  <c r="G19" i="65"/>
  <c r="G20" i="65"/>
  <c r="G21" i="65"/>
  <c r="G22" i="65"/>
  <c r="G23" i="65"/>
  <c r="G24" i="65"/>
  <c r="G25" i="65"/>
  <c r="G26" i="65"/>
  <c r="G27" i="65"/>
  <c r="G28" i="65"/>
  <c r="G9" i="65"/>
  <c r="I73" i="15"/>
  <c r="K71" i="15"/>
  <c r="AK9" i="3" l="1"/>
  <c r="AK29" i="3" s="1"/>
  <c r="R29" i="65"/>
  <c r="C29" i="65"/>
  <c r="D12" i="65" s="1"/>
  <c r="E12" i="65" s="1"/>
  <c r="G29" i="65"/>
  <c r="D25" i="65" l="1"/>
  <c r="E25" i="65" s="1"/>
  <c r="D26" i="65"/>
  <c r="E26" i="65" s="1"/>
  <c r="D14" i="65"/>
  <c r="E14" i="65" s="1"/>
  <c r="D18" i="65"/>
  <c r="E18" i="65" s="1"/>
  <c r="F18" i="65" s="1"/>
  <c r="D10" i="65"/>
  <c r="E10" i="65" s="1"/>
  <c r="I78" i="15"/>
  <c r="K78" i="15" s="1"/>
  <c r="F12" i="65" s="1"/>
  <c r="D24" i="65"/>
  <c r="E24" i="65" s="1"/>
  <c r="F24" i="65" s="1"/>
  <c r="D19" i="65"/>
  <c r="E19" i="65" s="1"/>
  <c r="D15" i="65"/>
  <c r="E15" i="65" s="1"/>
  <c r="F15" i="65" s="1"/>
  <c r="D11" i="65"/>
  <c r="E11" i="65" s="1"/>
  <c r="D23" i="65"/>
  <c r="E23" i="65" s="1"/>
  <c r="F23" i="65" s="1"/>
  <c r="D27" i="65"/>
  <c r="E27" i="65" s="1"/>
  <c r="D17" i="65"/>
  <c r="E17" i="65" s="1"/>
  <c r="F17" i="65" s="1"/>
  <c r="D13" i="65"/>
  <c r="E13" i="65" s="1"/>
  <c r="D9" i="65"/>
  <c r="D22" i="65"/>
  <c r="E22" i="65" s="1"/>
  <c r="F22" i="65" s="1"/>
  <c r="D28" i="65"/>
  <c r="E28" i="65" s="1"/>
  <c r="F28" i="65" s="1"/>
  <c r="D21" i="65"/>
  <c r="E21" i="65" s="1"/>
  <c r="D16" i="65"/>
  <c r="E16" i="65" s="1"/>
  <c r="F16" i="65" s="1"/>
  <c r="D20" i="65"/>
  <c r="E20" i="65" s="1"/>
  <c r="F20" i="65" s="1"/>
  <c r="F13" i="65" l="1"/>
  <c r="F11" i="65"/>
  <c r="F14" i="65"/>
  <c r="F21" i="65"/>
  <c r="F27" i="65"/>
  <c r="F19" i="65"/>
  <c r="F10" i="65"/>
  <c r="F25" i="65"/>
  <c r="F26" i="65"/>
  <c r="D29" i="65"/>
  <c r="E9" i="65"/>
  <c r="F9" i="65" s="1"/>
  <c r="E29" i="65" l="1"/>
  <c r="F29" i="65" l="1"/>
  <c r="I37" i="18" l="1"/>
  <c r="J37" i="18"/>
  <c r="I38" i="18"/>
  <c r="J38" i="18"/>
  <c r="I39" i="18"/>
  <c r="J39" i="18"/>
  <c r="I40" i="18"/>
  <c r="J40" i="18"/>
  <c r="I41" i="18"/>
  <c r="J41" i="18"/>
  <c r="I42" i="18"/>
  <c r="J42" i="18"/>
  <c r="I43" i="18"/>
  <c r="J43" i="18"/>
  <c r="I44" i="18"/>
  <c r="J44" i="18"/>
  <c r="I45" i="18"/>
  <c r="J45" i="18"/>
  <c r="I46" i="18"/>
  <c r="J46" i="18"/>
  <c r="I47" i="18"/>
  <c r="J47" i="18"/>
  <c r="I48" i="18"/>
  <c r="J48" i="18"/>
  <c r="I49" i="18"/>
  <c r="J49" i="18"/>
  <c r="I50" i="18"/>
  <c r="J50" i="18"/>
  <c r="I51" i="18"/>
  <c r="J51" i="18"/>
  <c r="I52" i="18"/>
  <c r="J52" i="18"/>
  <c r="I53" i="18"/>
  <c r="J53" i="18"/>
  <c r="I54" i="18"/>
  <c r="J54" i="18"/>
  <c r="I55" i="18"/>
  <c r="J55" i="18"/>
  <c r="J36" i="18"/>
  <c r="I36" i="18"/>
  <c r="F37" i="18"/>
  <c r="G37" i="18"/>
  <c r="F38" i="18"/>
  <c r="G38" i="18"/>
  <c r="F39" i="18"/>
  <c r="G39" i="18"/>
  <c r="F40" i="18"/>
  <c r="G40" i="18"/>
  <c r="F41" i="18"/>
  <c r="G41" i="18"/>
  <c r="F42" i="18"/>
  <c r="G42" i="18"/>
  <c r="F43" i="18"/>
  <c r="G43" i="18"/>
  <c r="F44" i="18"/>
  <c r="G44" i="18"/>
  <c r="F45" i="18"/>
  <c r="G45" i="18"/>
  <c r="F46" i="18"/>
  <c r="G46" i="18"/>
  <c r="F47" i="18"/>
  <c r="G47" i="18"/>
  <c r="F48" i="18"/>
  <c r="G48" i="18"/>
  <c r="F49" i="18"/>
  <c r="G49" i="18"/>
  <c r="F50" i="18"/>
  <c r="G50" i="18"/>
  <c r="F51" i="18"/>
  <c r="G51" i="18"/>
  <c r="F52" i="18"/>
  <c r="G52" i="18"/>
  <c r="F53" i="18"/>
  <c r="G53" i="18"/>
  <c r="F54" i="18"/>
  <c r="G54" i="18"/>
  <c r="F55" i="18"/>
  <c r="G55" i="18"/>
  <c r="G36" i="18"/>
  <c r="F36" i="18"/>
  <c r="O32" i="39" l="1"/>
  <c r="O31" i="41"/>
  <c r="O31" i="45" l="1"/>
  <c r="O36" i="21"/>
  <c r="B8" i="47" l="1"/>
  <c r="C8" i="47" s="1"/>
  <c r="B9" i="47"/>
  <c r="C9" i="47" s="1"/>
  <c r="B10" i="47"/>
  <c r="C10" i="47" s="1"/>
  <c r="B11" i="47"/>
  <c r="C11" i="47" s="1"/>
  <c r="B14" i="47"/>
  <c r="B15" i="47"/>
  <c r="B16" i="47"/>
  <c r="B18" i="47"/>
  <c r="B19" i="47"/>
  <c r="B21" i="47"/>
  <c r="B23" i="47"/>
  <c r="B24" i="47"/>
  <c r="B26" i="47"/>
  <c r="C26" i="47" s="1"/>
  <c r="B7" i="47"/>
  <c r="N32" i="41"/>
  <c r="M32" i="41"/>
  <c r="L32" i="41"/>
  <c r="K32" i="41"/>
  <c r="J32" i="41"/>
  <c r="I32" i="41"/>
  <c r="H32" i="41"/>
  <c r="G32" i="41"/>
  <c r="F32" i="41"/>
  <c r="E32" i="41"/>
  <c r="J32" i="47" l="1"/>
  <c r="D33" i="39"/>
  <c r="E32" i="47"/>
  <c r="I32" i="47"/>
  <c r="M32" i="47"/>
  <c r="G33" i="39"/>
  <c r="K33" i="39"/>
  <c r="F32" i="47"/>
  <c r="L33" i="39"/>
  <c r="G32" i="47"/>
  <c r="K32" i="47"/>
  <c r="E33" i="39"/>
  <c r="I33" i="39"/>
  <c r="M33" i="39"/>
  <c r="N32" i="47"/>
  <c r="H33" i="39"/>
  <c r="D32" i="47"/>
  <c r="H32" i="47"/>
  <c r="L32" i="47"/>
  <c r="F33" i="39"/>
  <c r="J33" i="39"/>
  <c r="N33" i="39"/>
  <c r="D32" i="41"/>
  <c r="K33" i="47" l="1"/>
  <c r="K34" i="47"/>
  <c r="E34" i="47"/>
  <c r="E33" i="47"/>
  <c r="D33" i="47"/>
  <c r="D34" i="47"/>
  <c r="N33" i="47"/>
  <c r="N34" i="47"/>
  <c r="I33" i="47"/>
  <c r="I34" i="47"/>
  <c r="H33" i="47"/>
  <c r="H34" i="47"/>
  <c r="G34" i="47"/>
  <c r="G33" i="47"/>
  <c r="M34" i="47"/>
  <c r="M33" i="47"/>
  <c r="L33" i="47"/>
  <c r="L34" i="47"/>
  <c r="F33" i="47"/>
  <c r="F34" i="47"/>
  <c r="J33" i="47"/>
  <c r="J34" i="47"/>
  <c r="C32" i="41"/>
  <c r="O30" i="41"/>
  <c r="O32" i="41" s="1"/>
  <c r="C32" i="47"/>
  <c r="C33" i="39"/>
  <c r="C34" i="47" l="1"/>
  <c r="C33" i="47"/>
  <c r="O33" i="47" s="1"/>
  <c r="O32" i="47"/>
  <c r="O34" i="47" l="1"/>
  <c r="C21" i="47"/>
  <c r="C14" i="47"/>
  <c r="C18" i="47"/>
  <c r="C15" i="47"/>
  <c r="C19" i="47"/>
  <c r="C23" i="47"/>
  <c r="C16" i="47"/>
  <c r="C24" i="47"/>
  <c r="O29" i="63" l="1"/>
  <c r="N23" i="63"/>
  <c r="M23" i="63"/>
  <c r="L23" i="63"/>
  <c r="K23" i="63"/>
  <c r="J23" i="63"/>
  <c r="I23" i="63"/>
  <c r="H23" i="63"/>
  <c r="G23" i="63"/>
  <c r="F23" i="63"/>
  <c r="E23" i="63"/>
  <c r="D23" i="63"/>
  <c r="C23" i="63"/>
  <c r="O23" i="63" s="1"/>
  <c r="N22" i="63"/>
  <c r="M22" i="63"/>
  <c r="L22" i="63"/>
  <c r="K22" i="63"/>
  <c r="J22" i="63"/>
  <c r="I22" i="63"/>
  <c r="H22" i="63"/>
  <c r="G22" i="63"/>
  <c r="F22" i="63"/>
  <c r="E22" i="63"/>
  <c r="D22" i="63"/>
  <c r="C22" i="63"/>
  <c r="O22" i="63" s="1"/>
  <c r="N21" i="63"/>
  <c r="M21" i="63"/>
  <c r="L21" i="63"/>
  <c r="K21" i="63"/>
  <c r="J21" i="63"/>
  <c r="I21" i="63"/>
  <c r="H21" i="63"/>
  <c r="G21" i="63"/>
  <c r="F21" i="63"/>
  <c r="E21" i="63"/>
  <c r="D21" i="63"/>
  <c r="C21" i="63"/>
  <c r="O21" i="63" s="1"/>
  <c r="N20" i="63"/>
  <c r="M20" i="63"/>
  <c r="L20" i="63"/>
  <c r="K20" i="63"/>
  <c r="J20" i="63"/>
  <c r="I20" i="63"/>
  <c r="H20" i="63"/>
  <c r="G20" i="63"/>
  <c r="F20" i="63"/>
  <c r="E20" i="63"/>
  <c r="D20" i="63"/>
  <c r="C20" i="63"/>
  <c r="O20" i="63" s="1"/>
  <c r="N19" i="63"/>
  <c r="M19" i="63"/>
  <c r="L19" i="63"/>
  <c r="K19" i="63"/>
  <c r="J19" i="63"/>
  <c r="I19" i="63"/>
  <c r="H19" i="63"/>
  <c r="G19" i="63"/>
  <c r="F19" i="63"/>
  <c r="E19" i="63"/>
  <c r="D19" i="63"/>
  <c r="C19" i="63"/>
  <c r="N18" i="63"/>
  <c r="M18" i="63"/>
  <c r="L18" i="63"/>
  <c r="K18" i="63"/>
  <c r="J18" i="63"/>
  <c r="I18" i="63"/>
  <c r="H18" i="63"/>
  <c r="G18" i="63"/>
  <c r="F18" i="63"/>
  <c r="E18" i="63"/>
  <c r="D18" i="63"/>
  <c r="C18" i="63"/>
  <c r="N17" i="63"/>
  <c r="M17" i="63"/>
  <c r="L17" i="63"/>
  <c r="K17" i="63"/>
  <c r="J17" i="63"/>
  <c r="I17" i="63"/>
  <c r="H17" i="63"/>
  <c r="G17" i="63"/>
  <c r="F17" i="63"/>
  <c r="E17" i="63"/>
  <c r="D17" i="63"/>
  <c r="C17" i="63"/>
  <c r="O17" i="63" s="1"/>
  <c r="N16" i="63"/>
  <c r="M16" i="63"/>
  <c r="L16" i="63"/>
  <c r="K16" i="63"/>
  <c r="J16" i="63"/>
  <c r="I16" i="63"/>
  <c r="H16" i="63"/>
  <c r="G16" i="63"/>
  <c r="F16" i="63"/>
  <c r="E16" i="63"/>
  <c r="D16" i="63"/>
  <c r="C16" i="63"/>
  <c r="O16" i="63" s="1"/>
  <c r="N15" i="63"/>
  <c r="M15" i="63"/>
  <c r="L15" i="63"/>
  <c r="K15" i="63"/>
  <c r="J15" i="63"/>
  <c r="I15" i="63"/>
  <c r="H15" i="63"/>
  <c r="G15" i="63"/>
  <c r="F15" i="63"/>
  <c r="E15" i="63"/>
  <c r="D15" i="63"/>
  <c r="C15" i="63"/>
  <c r="O15" i="63" s="1"/>
  <c r="N14" i="63"/>
  <c r="M14" i="63"/>
  <c r="L14" i="63"/>
  <c r="K14" i="63"/>
  <c r="J14" i="63"/>
  <c r="I14" i="63"/>
  <c r="H14" i="63"/>
  <c r="G14" i="63"/>
  <c r="F14" i="63"/>
  <c r="E14" i="63"/>
  <c r="D14" i="63"/>
  <c r="C14" i="63"/>
  <c r="O14" i="63" s="1"/>
  <c r="N13" i="63"/>
  <c r="M13" i="63"/>
  <c r="L13" i="63"/>
  <c r="K13" i="63"/>
  <c r="J13" i="63"/>
  <c r="I13" i="63"/>
  <c r="H13" i="63"/>
  <c r="G13" i="63"/>
  <c r="F13" i="63"/>
  <c r="E13" i="63"/>
  <c r="D13" i="63"/>
  <c r="C13" i="63"/>
  <c r="O13" i="63" s="1"/>
  <c r="N12" i="63"/>
  <c r="M12" i="63"/>
  <c r="L12" i="63"/>
  <c r="K12" i="63"/>
  <c r="J12" i="63"/>
  <c r="I12" i="63"/>
  <c r="H12" i="63"/>
  <c r="G12" i="63"/>
  <c r="F12" i="63"/>
  <c r="E12" i="63"/>
  <c r="D12" i="63"/>
  <c r="C12" i="63"/>
  <c r="O12" i="63" s="1"/>
  <c r="N11" i="63"/>
  <c r="M11" i="63"/>
  <c r="L11" i="63"/>
  <c r="K11" i="63"/>
  <c r="J11" i="63"/>
  <c r="I11" i="63"/>
  <c r="H11" i="63"/>
  <c r="G11" i="63"/>
  <c r="F11" i="63"/>
  <c r="E11" i="63"/>
  <c r="D11" i="63"/>
  <c r="C11" i="63"/>
  <c r="N10" i="63"/>
  <c r="M10" i="63"/>
  <c r="L10" i="63"/>
  <c r="K10" i="63"/>
  <c r="J10" i="63"/>
  <c r="I10" i="63"/>
  <c r="H10" i="63"/>
  <c r="G10" i="63"/>
  <c r="F10" i="63"/>
  <c r="E10" i="63"/>
  <c r="D10" i="63"/>
  <c r="C10" i="63"/>
  <c r="N9" i="63"/>
  <c r="M9" i="63"/>
  <c r="L9" i="63"/>
  <c r="K9" i="63"/>
  <c r="J9" i="63"/>
  <c r="I9" i="63"/>
  <c r="H9" i="63"/>
  <c r="G9" i="63"/>
  <c r="F9" i="63"/>
  <c r="E9" i="63"/>
  <c r="D9" i="63"/>
  <c r="C9" i="63"/>
  <c r="N8" i="63"/>
  <c r="M8" i="63"/>
  <c r="L8" i="63"/>
  <c r="K8" i="63"/>
  <c r="J8" i="63"/>
  <c r="I8" i="63"/>
  <c r="H8" i="63"/>
  <c r="G8" i="63"/>
  <c r="F8" i="63"/>
  <c r="E8" i="63"/>
  <c r="D8" i="63"/>
  <c r="C8" i="63"/>
  <c r="O8" i="63" s="1"/>
  <c r="N7" i="63"/>
  <c r="M7" i="63"/>
  <c r="L7" i="63"/>
  <c r="K7" i="63"/>
  <c r="J7" i="63"/>
  <c r="I7" i="63"/>
  <c r="H7" i="63"/>
  <c r="G7" i="63"/>
  <c r="F7" i="63"/>
  <c r="E7" i="63"/>
  <c r="D7" i="63"/>
  <c r="C7" i="63"/>
  <c r="O7" i="63" s="1"/>
  <c r="N6" i="63"/>
  <c r="M6" i="63"/>
  <c r="L6" i="63"/>
  <c r="K6" i="63"/>
  <c r="J6" i="63"/>
  <c r="I6" i="63"/>
  <c r="H6" i="63"/>
  <c r="G6" i="63"/>
  <c r="F6" i="63"/>
  <c r="E6" i="63"/>
  <c r="D6" i="63"/>
  <c r="C6" i="63"/>
  <c r="O6" i="63" s="1"/>
  <c r="N5" i="63"/>
  <c r="M5" i="63"/>
  <c r="L5" i="63"/>
  <c r="K5" i="63"/>
  <c r="J5" i="63"/>
  <c r="I5" i="63"/>
  <c r="H5" i="63"/>
  <c r="G5" i="63"/>
  <c r="F5" i="63"/>
  <c r="E5" i="63"/>
  <c r="D5" i="63"/>
  <c r="C5" i="63"/>
  <c r="O5" i="63" s="1"/>
  <c r="B4" i="63"/>
  <c r="G4" i="63" s="1"/>
  <c r="M23" i="61"/>
  <c r="L23" i="61"/>
  <c r="K23" i="61"/>
  <c r="J23" i="61"/>
  <c r="I23" i="61"/>
  <c r="H23" i="61"/>
  <c r="G23" i="61"/>
  <c r="F23" i="61"/>
  <c r="E23" i="61"/>
  <c r="D23" i="61"/>
  <c r="C23" i="61"/>
  <c r="B23" i="61"/>
  <c r="M22" i="61"/>
  <c r="L22" i="61"/>
  <c r="K22" i="61"/>
  <c r="J22" i="61"/>
  <c r="I22" i="61"/>
  <c r="H22" i="61"/>
  <c r="G22" i="61"/>
  <c r="F22" i="61"/>
  <c r="E22" i="61"/>
  <c r="D22" i="61"/>
  <c r="C22" i="61"/>
  <c r="B22" i="61"/>
  <c r="M21" i="61"/>
  <c r="L21" i="61"/>
  <c r="K21" i="61"/>
  <c r="J21" i="61"/>
  <c r="I21" i="61"/>
  <c r="H21" i="61"/>
  <c r="G21" i="61"/>
  <c r="F21" i="61"/>
  <c r="E21" i="61"/>
  <c r="D21" i="61"/>
  <c r="C21" i="61"/>
  <c r="B21" i="61"/>
  <c r="M20" i="61"/>
  <c r="L20" i="61"/>
  <c r="K20" i="61"/>
  <c r="J20" i="61"/>
  <c r="I20" i="61"/>
  <c r="H20" i="61"/>
  <c r="G20" i="61"/>
  <c r="F20" i="61"/>
  <c r="E20" i="61"/>
  <c r="D20" i="61"/>
  <c r="C20" i="61"/>
  <c r="B20" i="61"/>
  <c r="M19" i="61"/>
  <c r="L19" i="61"/>
  <c r="K19" i="61"/>
  <c r="J19" i="61"/>
  <c r="I19" i="61"/>
  <c r="H19" i="61"/>
  <c r="G19" i="61"/>
  <c r="F19" i="61"/>
  <c r="E19" i="61"/>
  <c r="D19" i="61"/>
  <c r="C19" i="61"/>
  <c r="B19" i="61"/>
  <c r="M18" i="61"/>
  <c r="L18" i="61"/>
  <c r="K18" i="61"/>
  <c r="J18" i="61"/>
  <c r="I18" i="61"/>
  <c r="H18" i="61"/>
  <c r="G18" i="61"/>
  <c r="F18" i="61"/>
  <c r="E18" i="61"/>
  <c r="D18" i="61"/>
  <c r="C18" i="61"/>
  <c r="B18" i="61"/>
  <c r="M17" i="61"/>
  <c r="L17" i="61"/>
  <c r="K17" i="61"/>
  <c r="J17" i="61"/>
  <c r="I17" i="61"/>
  <c r="H17" i="61"/>
  <c r="G17" i="61"/>
  <c r="F17" i="61"/>
  <c r="E17" i="61"/>
  <c r="D17" i="61"/>
  <c r="C17" i="61"/>
  <c r="B17" i="61"/>
  <c r="M16" i="61"/>
  <c r="L16" i="61"/>
  <c r="K16" i="61"/>
  <c r="J16" i="61"/>
  <c r="I16" i="61"/>
  <c r="H16" i="61"/>
  <c r="G16" i="61"/>
  <c r="F16" i="61"/>
  <c r="E16" i="61"/>
  <c r="D16" i="61"/>
  <c r="C16" i="61"/>
  <c r="B16" i="61"/>
  <c r="M15" i="61"/>
  <c r="L15" i="61"/>
  <c r="K15" i="61"/>
  <c r="J15" i="61"/>
  <c r="I15" i="61"/>
  <c r="H15" i="61"/>
  <c r="G15" i="61"/>
  <c r="F15" i="61"/>
  <c r="E15" i="61"/>
  <c r="D15" i="61"/>
  <c r="C15" i="61"/>
  <c r="B15" i="61"/>
  <c r="M14" i="61"/>
  <c r="L14" i="61"/>
  <c r="K14" i="61"/>
  <c r="J14" i="61"/>
  <c r="I14" i="61"/>
  <c r="H14" i="61"/>
  <c r="G14" i="61"/>
  <c r="F14" i="61"/>
  <c r="E14" i="61"/>
  <c r="D14" i="61"/>
  <c r="C14" i="61"/>
  <c r="B14" i="61"/>
  <c r="M13" i="61"/>
  <c r="L13" i="61"/>
  <c r="K13" i="61"/>
  <c r="J13" i="61"/>
  <c r="I13" i="61"/>
  <c r="H13" i="61"/>
  <c r="G13" i="61"/>
  <c r="F13" i="61"/>
  <c r="E13" i="61"/>
  <c r="D13" i="61"/>
  <c r="C13" i="61"/>
  <c r="B13" i="61"/>
  <c r="M12" i="61"/>
  <c r="L12" i="61"/>
  <c r="K12" i="61"/>
  <c r="J12" i="61"/>
  <c r="I12" i="61"/>
  <c r="H12" i="61"/>
  <c r="G12" i="61"/>
  <c r="F12" i="61"/>
  <c r="E12" i="61"/>
  <c r="D12" i="61"/>
  <c r="C12" i="61"/>
  <c r="B12" i="61"/>
  <c r="M11" i="61"/>
  <c r="L11" i="61"/>
  <c r="K11" i="61"/>
  <c r="J11" i="61"/>
  <c r="I11" i="61"/>
  <c r="H11" i="61"/>
  <c r="G11" i="61"/>
  <c r="F11" i="61"/>
  <c r="E11" i="61"/>
  <c r="D11" i="61"/>
  <c r="C11" i="61"/>
  <c r="B11" i="61"/>
  <c r="M10" i="61"/>
  <c r="L10" i="61"/>
  <c r="K10" i="61"/>
  <c r="J10" i="61"/>
  <c r="I10" i="61"/>
  <c r="H10" i="61"/>
  <c r="G10" i="61"/>
  <c r="F10" i="61"/>
  <c r="E10" i="61"/>
  <c r="D10" i="61"/>
  <c r="C10" i="61"/>
  <c r="B10" i="61"/>
  <c r="M9" i="61"/>
  <c r="L9" i="61"/>
  <c r="K9" i="61"/>
  <c r="J9" i="61"/>
  <c r="I9" i="61"/>
  <c r="H9" i="61"/>
  <c r="G9" i="61"/>
  <c r="F9" i="61"/>
  <c r="E9" i="61"/>
  <c r="D9" i="61"/>
  <c r="C9" i="61"/>
  <c r="B9" i="61"/>
  <c r="M8" i="61"/>
  <c r="L8" i="61"/>
  <c r="K8" i="61"/>
  <c r="J8" i="61"/>
  <c r="I8" i="61"/>
  <c r="H8" i="61"/>
  <c r="G8" i="61"/>
  <c r="F8" i="61"/>
  <c r="E8" i="61"/>
  <c r="D8" i="61"/>
  <c r="C8" i="61"/>
  <c r="B8" i="61"/>
  <c r="M7" i="61"/>
  <c r="L7" i="61"/>
  <c r="K7" i="61"/>
  <c r="J7" i="61"/>
  <c r="I7" i="61"/>
  <c r="H7" i="61"/>
  <c r="G7" i="61"/>
  <c r="F7" i="61"/>
  <c r="E7" i="61"/>
  <c r="D7" i="61"/>
  <c r="C7" i="61"/>
  <c r="B7" i="61"/>
  <c r="M6" i="61"/>
  <c r="L6" i="61"/>
  <c r="K6" i="61"/>
  <c r="J6" i="61"/>
  <c r="I6" i="61"/>
  <c r="H6" i="61"/>
  <c r="G6" i="61"/>
  <c r="F6" i="61"/>
  <c r="E6" i="61"/>
  <c r="D6" i="61"/>
  <c r="C6" i="61"/>
  <c r="B6" i="61"/>
  <c r="M5" i="61"/>
  <c r="L5" i="61"/>
  <c r="K5" i="61"/>
  <c r="J5" i="61"/>
  <c r="I5" i="61"/>
  <c r="H5" i="61"/>
  <c r="G5" i="61"/>
  <c r="F5" i="61"/>
  <c r="E5" i="61"/>
  <c r="D5" i="61"/>
  <c r="C5" i="61"/>
  <c r="B5" i="61"/>
  <c r="M4" i="61"/>
  <c r="M24" i="61" s="1"/>
  <c r="L4" i="61"/>
  <c r="K4" i="61"/>
  <c r="K24" i="61" s="1"/>
  <c r="J4" i="61"/>
  <c r="I4" i="61"/>
  <c r="H4" i="61"/>
  <c r="G4" i="61"/>
  <c r="G24" i="61" s="1"/>
  <c r="F4" i="61"/>
  <c r="E4" i="61"/>
  <c r="E24" i="61" s="1"/>
  <c r="D4" i="61"/>
  <c r="C4" i="61"/>
  <c r="C24" i="61" s="1"/>
  <c r="B4" i="61"/>
  <c r="B24" i="60"/>
  <c r="N23" i="60"/>
  <c r="M23" i="60"/>
  <c r="L23" i="60"/>
  <c r="K23" i="60"/>
  <c r="J23" i="60"/>
  <c r="I23" i="60"/>
  <c r="H23" i="60"/>
  <c r="G23" i="60"/>
  <c r="F23" i="60"/>
  <c r="E23" i="60"/>
  <c r="D23" i="60"/>
  <c r="C23" i="60"/>
  <c r="N22" i="60"/>
  <c r="M22" i="60"/>
  <c r="L22" i="60"/>
  <c r="K22" i="60"/>
  <c r="J22" i="60"/>
  <c r="I22" i="60"/>
  <c r="H22" i="60"/>
  <c r="G22" i="60"/>
  <c r="F22" i="60"/>
  <c r="E22" i="60"/>
  <c r="D22" i="60"/>
  <c r="C22" i="60"/>
  <c r="N21" i="60"/>
  <c r="M21" i="60"/>
  <c r="L21" i="60"/>
  <c r="K21" i="60"/>
  <c r="J21" i="60"/>
  <c r="I21" i="60"/>
  <c r="H21" i="60"/>
  <c r="G21" i="60"/>
  <c r="F21" i="60"/>
  <c r="E21" i="60"/>
  <c r="D21" i="60"/>
  <c r="C21" i="60"/>
  <c r="N20" i="60"/>
  <c r="M20" i="60"/>
  <c r="L20" i="60"/>
  <c r="K20" i="60"/>
  <c r="J20" i="60"/>
  <c r="I20" i="60"/>
  <c r="H20" i="60"/>
  <c r="G20" i="60"/>
  <c r="F20" i="60"/>
  <c r="E20" i="60"/>
  <c r="D20" i="60"/>
  <c r="C20" i="60"/>
  <c r="N19" i="60"/>
  <c r="M19" i="60"/>
  <c r="L19" i="60"/>
  <c r="K19" i="60"/>
  <c r="J19" i="60"/>
  <c r="I19" i="60"/>
  <c r="H19" i="60"/>
  <c r="G19" i="60"/>
  <c r="F19" i="60"/>
  <c r="E19" i="60"/>
  <c r="D19" i="60"/>
  <c r="C19" i="60"/>
  <c r="N18" i="60"/>
  <c r="M18" i="60"/>
  <c r="L18" i="60"/>
  <c r="K18" i="60"/>
  <c r="J18" i="60"/>
  <c r="I18" i="60"/>
  <c r="H18" i="60"/>
  <c r="G18" i="60"/>
  <c r="F18" i="60"/>
  <c r="E18" i="60"/>
  <c r="D18" i="60"/>
  <c r="C18" i="60"/>
  <c r="N17" i="60"/>
  <c r="M17" i="60"/>
  <c r="L17" i="60"/>
  <c r="K17" i="60"/>
  <c r="J17" i="60"/>
  <c r="I17" i="60"/>
  <c r="H17" i="60"/>
  <c r="G17" i="60"/>
  <c r="F17" i="60"/>
  <c r="E17" i="60"/>
  <c r="D17" i="60"/>
  <c r="C17" i="60"/>
  <c r="N16" i="60"/>
  <c r="M16" i="60"/>
  <c r="L16" i="60"/>
  <c r="K16" i="60"/>
  <c r="J16" i="60"/>
  <c r="I16" i="60"/>
  <c r="H16" i="60"/>
  <c r="G16" i="60"/>
  <c r="F16" i="60"/>
  <c r="E16" i="60"/>
  <c r="D16" i="60"/>
  <c r="C16" i="60"/>
  <c r="N15" i="60"/>
  <c r="M15" i="60"/>
  <c r="L15" i="60"/>
  <c r="K15" i="60"/>
  <c r="J15" i="60"/>
  <c r="I15" i="60"/>
  <c r="H15" i="60"/>
  <c r="G15" i="60"/>
  <c r="F15" i="60"/>
  <c r="E15" i="60"/>
  <c r="D15" i="60"/>
  <c r="C15" i="60"/>
  <c r="N14" i="60"/>
  <c r="M14" i="60"/>
  <c r="L14" i="60"/>
  <c r="K14" i="60"/>
  <c r="J14" i="60"/>
  <c r="I14" i="60"/>
  <c r="H14" i="60"/>
  <c r="G14" i="60"/>
  <c r="F14" i="60"/>
  <c r="E14" i="60"/>
  <c r="D14" i="60"/>
  <c r="C14" i="60"/>
  <c r="N13" i="60"/>
  <c r="M13" i="60"/>
  <c r="L13" i="60"/>
  <c r="K13" i="60"/>
  <c r="J13" i="60"/>
  <c r="I13" i="60"/>
  <c r="H13" i="60"/>
  <c r="G13" i="60"/>
  <c r="F13" i="60"/>
  <c r="E13" i="60"/>
  <c r="D13" i="60"/>
  <c r="C13" i="60"/>
  <c r="N12" i="60"/>
  <c r="M12" i="60"/>
  <c r="L12" i="60"/>
  <c r="K12" i="60"/>
  <c r="J12" i="60"/>
  <c r="I12" i="60"/>
  <c r="H12" i="60"/>
  <c r="G12" i="60"/>
  <c r="F12" i="60"/>
  <c r="E12" i="60"/>
  <c r="D12" i="60"/>
  <c r="C12" i="60"/>
  <c r="N11" i="60"/>
  <c r="M11" i="60"/>
  <c r="L11" i="60"/>
  <c r="K11" i="60"/>
  <c r="J11" i="60"/>
  <c r="I11" i="60"/>
  <c r="H11" i="60"/>
  <c r="G11" i="60"/>
  <c r="F11" i="60"/>
  <c r="E11" i="60"/>
  <c r="D11" i="60"/>
  <c r="C11" i="60"/>
  <c r="N10" i="60"/>
  <c r="M10" i="60"/>
  <c r="L10" i="60"/>
  <c r="K10" i="60"/>
  <c r="J10" i="60"/>
  <c r="I10" i="60"/>
  <c r="H10" i="60"/>
  <c r="G10" i="60"/>
  <c r="F10" i="60"/>
  <c r="E10" i="60"/>
  <c r="D10" i="60"/>
  <c r="C10" i="60"/>
  <c r="N9" i="60"/>
  <c r="M9" i="60"/>
  <c r="L9" i="60"/>
  <c r="K9" i="60"/>
  <c r="J9" i="60"/>
  <c r="I9" i="60"/>
  <c r="H9" i="60"/>
  <c r="G9" i="60"/>
  <c r="F9" i="60"/>
  <c r="E9" i="60"/>
  <c r="D9" i="60"/>
  <c r="C9" i="60"/>
  <c r="N8" i="60"/>
  <c r="M8" i="60"/>
  <c r="L8" i="60"/>
  <c r="K8" i="60"/>
  <c r="J8" i="60"/>
  <c r="I8" i="60"/>
  <c r="H8" i="60"/>
  <c r="G8" i="60"/>
  <c r="F8" i="60"/>
  <c r="E8" i="60"/>
  <c r="D8" i="60"/>
  <c r="C8" i="60"/>
  <c r="N7" i="60"/>
  <c r="M7" i="60"/>
  <c r="L7" i="60"/>
  <c r="K7" i="60"/>
  <c r="J7" i="60"/>
  <c r="I7" i="60"/>
  <c r="H7" i="60"/>
  <c r="G7" i="60"/>
  <c r="F7" i="60"/>
  <c r="E7" i="60"/>
  <c r="D7" i="60"/>
  <c r="C7" i="60"/>
  <c r="N6" i="60"/>
  <c r="M6" i="60"/>
  <c r="L6" i="60"/>
  <c r="K6" i="60"/>
  <c r="J6" i="60"/>
  <c r="I6" i="60"/>
  <c r="H6" i="60"/>
  <c r="G6" i="60"/>
  <c r="F6" i="60"/>
  <c r="E6" i="60"/>
  <c r="D6" i="60"/>
  <c r="C6" i="60"/>
  <c r="N5" i="60"/>
  <c r="M5" i="60"/>
  <c r="L5" i="60"/>
  <c r="K5" i="60"/>
  <c r="J5" i="60"/>
  <c r="I5" i="60"/>
  <c r="H5" i="60"/>
  <c r="G5" i="60"/>
  <c r="F5" i="60"/>
  <c r="E5" i="60"/>
  <c r="D5" i="60"/>
  <c r="C5" i="60"/>
  <c r="N4" i="60"/>
  <c r="M4" i="60"/>
  <c r="L4" i="60"/>
  <c r="L24" i="60" s="1"/>
  <c r="K4" i="60"/>
  <c r="J4" i="60"/>
  <c r="I4" i="60"/>
  <c r="H4" i="60"/>
  <c r="G4" i="60"/>
  <c r="F4" i="60"/>
  <c r="E4" i="60"/>
  <c r="D4" i="60"/>
  <c r="C4" i="60"/>
  <c r="N26" i="59"/>
  <c r="M26" i="59"/>
  <c r="L26" i="59"/>
  <c r="K26" i="59"/>
  <c r="J26" i="59"/>
  <c r="I26" i="59"/>
  <c r="H26" i="59"/>
  <c r="G26" i="59"/>
  <c r="F26" i="59"/>
  <c r="E26" i="59"/>
  <c r="D26" i="59"/>
  <c r="C26" i="59"/>
  <c r="B25" i="59"/>
  <c r="M25" i="59"/>
  <c r="E25" i="59"/>
  <c r="B24" i="58"/>
  <c r="N23" i="58"/>
  <c r="M23" i="58"/>
  <c r="L23" i="58"/>
  <c r="K23" i="58"/>
  <c r="J23" i="58"/>
  <c r="I23" i="58"/>
  <c r="H23" i="58"/>
  <c r="G23" i="58"/>
  <c r="F23" i="58"/>
  <c r="E23" i="58"/>
  <c r="D23" i="58"/>
  <c r="C23" i="58"/>
  <c r="N22" i="58"/>
  <c r="M22" i="58"/>
  <c r="L22" i="58"/>
  <c r="K22" i="58"/>
  <c r="J22" i="58"/>
  <c r="I22" i="58"/>
  <c r="H22" i="58"/>
  <c r="G22" i="58"/>
  <c r="F22" i="58"/>
  <c r="E22" i="58"/>
  <c r="D22" i="58"/>
  <c r="C22" i="58"/>
  <c r="N21" i="58"/>
  <c r="M21" i="58"/>
  <c r="L21" i="58"/>
  <c r="K21" i="58"/>
  <c r="J21" i="58"/>
  <c r="I21" i="58"/>
  <c r="H21" i="58"/>
  <c r="G21" i="58"/>
  <c r="F21" i="58"/>
  <c r="E21" i="58"/>
  <c r="D21" i="58"/>
  <c r="C21" i="58"/>
  <c r="N20" i="58"/>
  <c r="M20" i="58"/>
  <c r="L20" i="58"/>
  <c r="K20" i="58"/>
  <c r="J20" i="58"/>
  <c r="I20" i="58"/>
  <c r="H20" i="58"/>
  <c r="G20" i="58"/>
  <c r="F20" i="58"/>
  <c r="E20" i="58"/>
  <c r="D20" i="58"/>
  <c r="C20" i="58"/>
  <c r="N19" i="58"/>
  <c r="M19" i="58"/>
  <c r="L19" i="58"/>
  <c r="K19" i="58"/>
  <c r="J19" i="58"/>
  <c r="I19" i="58"/>
  <c r="H19" i="58"/>
  <c r="G19" i="58"/>
  <c r="F19" i="58"/>
  <c r="E19" i="58"/>
  <c r="D19" i="58"/>
  <c r="C19" i="58"/>
  <c r="N18" i="58"/>
  <c r="M18" i="58"/>
  <c r="L18" i="58"/>
  <c r="K18" i="58"/>
  <c r="J18" i="58"/>
  <c r="I18" i="58"/>
  <c r="H18" i="58"/>
  <c r="G18" i="58"/>
  <c r="F18" i="58"/>
  <c r="E18" i="58"/>
  <c r="D18" i="58"/>
  <c r="C18" i="58"/>
  <c r="N17" i="58"/>
  <c r="M17" i="58"/>
  <c r="L17" i="58"/>
  <c r="K17" i="58"/>
  <c r="J17" i="58"/>
  <c r="I17" i="58"/>
  <c r="H17" i="58"/>
  <c r="G17" i="58"/>
  <c r="F17" i="58"/>
  <c r="E17" i="58"/>
  <c r="D17" i="58"/>
  <c r="C17" i="58"/>
  <c r="N16" i="58"/>
  <c r="M16" i="58"/>
  <c r="L16" i="58"/>
  <c r="K16" i="58"/>
  <c r="J16" i="58"/>
  <c r="I16" i="58"/>
  <c r="H16" i="58"/>
  <c r="G16" i="58"/>
  <c r="F16" i="58"/>
  <c r="E16" i="58"/>
  <c r="D16" i="58"/>
  <c r="C16" i="58"/>
  <c r="N15" i="58"/>
  <c r="M15" i="58"/>
  <c r="L15" i="58"/>
  <c r="K15" i="58"/>
  <c r="J15" i="58"/>
  <c r="I15" i="58"/>
  <c r="H15" i="58"/>
  <c r="G15" i="58"/>
  <c r="F15" i="58"/>
  <c r="E15" i="58"/>
  <c r="D15" i="58"/>
  <c r="C15" i="58"/>
  <c r="N14" i="58"/>
  <c r="M14" i="58"/>
  <c r="L14" i="58"/>
  <c r="K14" i="58"/>
  <c r="J14" i="58"/>
  <c r="I14" i="58"/>
  <c r="H14" i="58"/>
  <c r="G14" i="58"/>
  <c r="F14" i="58"/>
  <c r="E14" i="58"/>
  <c r="D14" i="58"/>
  <c r="C14" i="58"/>
  <c r="N13" i="58"/>
  <c r="M13" i="58"/>
  <c r="L13" i="58"/>
  <c r="K13" i="58"/>
  <c r="J13" i="58"/>
  <c r="I13" i="58"/>
  <c r="H13" i="58"/>
  <c r="G13" i="58"/>
  <c r="F13" i="58"/>
  <c r="E13" i="58"/>
  <c r="D13" i="58"/>
  <c r="C13" i="58"/>
  <c r="N12" i="58"/>
  <c r="M12" i="58"/>
  <c r="L12" i="58"/>
  <c r="K12" i="58"/>
  <c r="J12" i="58"/>
  <c r="I12" i="58"/>
  <c r="H12" i="58"/>
  <c r="G12" i="58"/>
  <c r="F12" i="58"/>
  <c r="E12" i="58"/>
  <c r="D12" i="58"/>
  <c r="C12" i="58"/>
  <c r="N11" i="58"/>
  <c r="M11" i="58"/>
  <c r="L11" i="58"/>
  <c r="K11" i="58"/>
  <c r="J11" i="58"/>
  <c r="I11" i="58"/>
  <c r="H11" i="58"/>
  <c r="G11" i="58"/>
  <c r="F11" i="58"/>
  <c r="E11" i="58"/>
  <c r="D11" i="58"/>
  <c r="C11" i="58"/>
  <c r="N10" i="58"/>
  <c r="M10" i="58"/>
  <c r="L10" i="58"/>
  <c r="K10" i="58"/>
  <c r="J10" i="58"/>
  <c r="I10" i="58"/>
  <c r="H10" i="58"/>
  <c r="G10" i="58"/>
  <c r="F10" i="58"/>
  <c r="E10" i="58"/>
  <c r="D10" i="58"/>
  <c r="C10" i="58"/>
  <c r="N9" i="58"/>
  <c r="M9" i="58"/>
  <c r="L9" i="58"/>
  <c r="K9" i="58"/>
  <c r="J9" i="58"/>
  <c r="I9" i="58"/>
  <c r="H9" i="58"/>
  <c r="G9" i="58"/>
  <c r="F9" i="58"/>
  <c r="E9" i="58"/>
  <c r="D9" i="58"/>
  <c r="C9" i="58"/>
  <c r="N8" i="58"/>
  <c r="M8" i="58"/>
  <c r="L8" i="58"/>
  <c r="K8" i="58"/>
  <c r="J8" i="58"/>
  <c r="I8" i="58"/>
  <c r="H8" i="58"/>
  <c r="G8" i="58"/>
  <c r="F8" i="58"/>
  <c r="E8" i="58"/>
  <c r="D8" i="58"/>
  <c r="C8" i="58"/>
  <c r="N7" i="58"/>
  <c r="M7" i="58"/>
  <c r="L7" i="58"/>
  <c r="K7" i="58"/>
  <c r="J7" i="58"/>
  <c r="I7" i="58"/>
  <c r="H7" i="58"/>
  <c r="G7" i="58"/>
  <c r="F7" i="58"/>
  <c r="E7" i="58"/>
  <c r="D7" i="58"/>
  <c r="C7" i="58"/>
  <c r="N6" i="58"/>
  <c r="M6" i="58"/>
  <c r="L6" i="58"/>
  <c r="K6" i="58"/>
  <c r="J6" i="58"/>
  <c r="I6" i="58"/>
  <c r="H6" i="58"/>
  <c r="G6" i="58"/>
  <c r="F6" i="58"/>
  <c r="E6" i="58"/>
  <c r="D6" i="58"/>
  <c r="C6" i="58"/>
  <c r="N5" i="58"/>
  <c r="M5" i="58"/>
  <c r="L5" i="58"/>
  <c r="K5" i="58"/>
  <c r="J5" i="58"/>
  <c r="I5" i="58"/>
  <c r="H5" i="58"/>
  <c r="G5" i="58"/>
  <c r="F5" i="58"/>
  <c r="E5" i="58"/>
  <c r="D5" i="58"/>
  <c r="C5" i="58"/>
  <c r="N4" i="58"/>
  <c r="M4" i="58"/>
  <c r="L4" i="58"/>
  <c r="L24" i="58" s="1"/>
  <c r="K4" i="58"/>
  <c r="K24" i="58" s="1"/>
  <c r="J4" i="58"/>
  <c r="I4" i="58"/>
  <c r="H4" i="58"/>
  <c r="H24" i="58" s="1"/>
  <c r="G4" i="58"/>
  <c r="F4" i="58"/>
  <c r="E4" i="58"/>
  <c r="D4" i="58"/>
  <c r="D24" i="58" s="1"/>
  <c r="C4" i="58"/>
  <c r="B24" i="57"/>
  <c r="B24" i="56"/>
  <c r="O4" i="58" l="1"/>
  <c r="O11" i="58"/>
  <c r="O12" i="58"/>
  <c r="O15" i="58"/>
  <c r="O16" i="58"/>
  <c r="O17" i="58"/>
  <c r="O19" i="58"/>
  <c r="O21" i="58"/>
  <c r="O7" i="58"/>
  <c r="O8" i="58"/>
  <c r="O9" i="58"/>
  <c r="O20" i="58"/>
  <c r="O23" i="58"/>
  <c r="I4" i="63"/>
  <c r="I24" i="63" s="1"/>
  <c r="E27" i="59"/>
  <c r="M27" i="59"/>
  <c r="C24" i="58"/>
  <c r="I24" i="60"/>
  <c r="C25" i="59"/>
  <c r="C27" i="59" s="1"/>
  <c r="G25" i="59"/>
  <c r="G27" i="59" s="1"/>
  <c r="K25" i="59"/>
  <c r="K27" i="59" s="1"/>
  <c r="O8" i="59"/>
  <c r="O9" i="59"/>
  <c r="O10" i="59"/>
  <c r="O11" i="59"/>
  <c r="O12" i="59"/>
  <c r="O13" i="59"/>
  <c r="O14" i="59"/>
  <c r="O15" i="59"/>
  <c r="O16" i="59"/>
  <c r="O19" i="59"/>
  <c r="O20" i="59"/>
  <c r="O22" i="59"/>
  <c r="O23" i="59"/>
  <c r="O24" i="59"/>
  <c r="E24" i="58"/>
  <c r="I24" i="58"/>
  <c r="H25" i="59"/>
  <c r="H27" i="59" s="1"/>
  <c r="L25" i="59"/>
  <c r="L27" i="59" s="1"/>
  <c r="C24" i="60"/>
  <c r="O6" i="60"/>
  <c r="G24" i="60"/>
  <c r="K24" i="60"/>
  <c r="O7" i="60"/>
  <c r="O9" i="60"/>
  <c r="O11" i="60"/>
  <c r="O12" i="60"/>
  <c r="O13" i="60"/>
  <c r="O14" i="60"/>
  <c r="O15" i="60"/>
  <c r="O17" i="60"/>
  <c r="O19" i="60"/>
  <c r="O21" i="60"/>
  <c r="O22" i="60"/>
  <c r="F24" i="58"/>
  <c r="J24" i="58"/>
  <c r="N24" i="58"/>
  <c r="D24" i="60"/>
  <c r="N5" i="61"/>
  <c r="J24" i="61"/>
  <c r="N7" i="61"/>
  <c r="B24" i="61"/>
  <c r="N11" i="61"/>
  <c r="N12" i="61"/>
  <c r="N13" i="61"/>
  <c r="N16" i="61"/>
  <c r="N17" i="61"/>
  <c r="N18" i="61"/>
  <c r="N19" i="61"/>
  <c r="N21" i="61"/>
  <c r="N23" i="61"/>
  <c r="D4" i="63"/>
  <c r="D24" i="63" s="1"/>
  <c r="B24" i="63"/>
  <c r="N4" i="63"/>
  <c r="M4" i="63"/>
  <c r="M24" i="63" s="1"/>
  <c r="H4" i="63"/>
  <c r="H24" i="63" s="1"/>
  <c r="C4" i="63"/>
  <c r="C24" i="63" s="1"/>
  <c r="K4" i="63"/>
  <c r="K24" i="63" s="1"/>
  <c r="E4" i="63"/>
  <c r="E24" i="63" s="1"/>
  <c r="L4" i="63"/>
  <c r="L24" i="63" s="1"/>
  <c r="O26" i="59"/>
  <c r="O5" i="58"/>
  <c r="O6" i="59"/>
  <c r="N8" i="61"/>
  <c r="O6" i="58"/>
  <c r="O13" i="58"/>
  <c r="O14" i="58"/>
  <c r="O7" i="59"/>
  <c r="O21" i="59"/>
  <c r="H24" i="60"/>
  <c r="O23" i="60"/>
  <c r="N9" i="61"/>
  <c r="N10" i="61"/>
  <c r="N20" i="61"/>
  <c r="O9" i="63"/>
  <c r="M24" i="58"/>
  <c r="O22" i="58"/>
  <c r="I25" i="59"/>
  <c r="I27" i="59" s="1"/>
  <c r="E24" i="60"/>
  <c r="M24" i="60"/>
  <c r="O8" i="60"/>
  <c r="O16" i="60"/>
  <c r="I24" i="61"/>
  <c r="N24" i="63"/>
  <c r="G24" i="63"/>
  <c r="G24" i="58"/>
  <c r="O10" i="58"/>
  <c r="F25" i="59"/>
  <c r="F27" i="59" s="1"/>
  <c r="J25" i="59"/>
  <c r="J27" i="59" s="1"/>
  <c r="N25" i="59"/>
  <c r="N27" i="59" s="1"/>
  <c r="O18" i="59"/>
  <c r="F24" i="60"/>
  <c r="J24" i="60"/>
  <c r="N24" i="60"/>
  <c r="O10" i="60"/>
  <c r="O18" i="60"/>
  <c r="N4" i="61"/>
  <c r="F24" i="61"/>
  <c r="N15" i="61"/>
  <c r="N14" i="61"/>
  <c r="O10" i="63"/>
  <c r="O11" i="63"/>
  <c r="O18" i="63"/>
  <c r="O19" i="63"/>
  <c r="O18" i="58"/>
  <c r="O17" i="59"/>
  <c r="O4" i="60"/>
  <c r="O5" i="60"/>
  <c r="O20" i="60"/>
  <c r="D24" i="61"/>
  <c r="H24" i="61"/>
  <c r="L24" i="61"/>
  <c r="N6" i="61"/>
  <c r="N22" i="61"/>
  <c r="F4" i="63"/>
  <c r="F24" i="63" s="1"/>
  <c r="J4" i="63"/>
  <c r="J24" i="63" s="1"/>
  <c r="N24" i="61" l="1"/>
  <c r="O24" i="58"/>
  <c r="O4" i="63"/>
  <c r="O24" i="63"/>
  <c r="O24" i="62"/>
  <c r="O24" i="60"/>
  <c r="K55" i="18" l="1"/>
  <c r="H55" i="18"/>
  <c r="K54" i="18"/>
  <c r="H54" i="18"/>
  <c r="K53" i="18"/>
  <c r="H53" i="18"/>
  <c r="K52" i="18"/>
  <c r="H52" i="18"/>
  <c r="K51" i="18"/>
  <c r="H51" i="18"/>
  <c r="K50" i="18"/>
  <c r="H50" i="18"/>
  <c r="K49" i="18"/>
  <c r="H49" i="18"/>
  <c r="K48" i="18"/>
  <c r="H48" i="18"/>
  <c r="K47" i="18"/>
  <c r="H47" i="18"/>
  <c r="K46" i="18"/>
  <c r="H46" i="18"/>
  <c r="K45" i="18"/>
  <c r="H45" i="18"/>
  <c r="K44" i="18"/>
  <c r="H44" i="18"/>
  <c r="K43" i="18"/>
  <c r="H43" i="18"/>
  <c r="K42" i="18"/>
  <c r="H42" i="18"/>
  <c r="K41" i="18"/>
  <c r="H41" i="18"/>
  <c r="K40" i="18"/>
  <c r="H40" i="18"/>
  <c r="K39" i="18"/>
  <c r="H39" i="18"/>
  <c r="K38" i="18"/>
  <c r="H38" i="18"/>
  <c r="K37" i="18"/>
  <c r="H37" i="18"/>
  <c r="K36" i="18"/>
  <c r="H36" i="18"/>
  <c r="E9" i="7" l="1"/>
  <c r="E10" i="7"/>
  <c r="E11" i="7"/>
  <c r="E12" i="7"/>
  <c r="E13" i="7"/>
  <c r="E14" i="7"/>
  <c r="E15" i="7"/>
  <c r="E16" i="7"/>
  <c r="E17" i="7"/>
  <c r="E18" i="7"/>
  <c r="E19" i="7"/>
  <c r="E20" i="7"/>
  <c r="E21" i="7"/>
  <c r="E22" i="7"/>
  <c r="E23" i="7"/>
  <c r="E24" i="7"/>
  <c r="E25" i="7"/>
  <c r="E26" i="7"/>
  <c r="E27" i="7"/>
  <c r="E8" i="7"/>
  <c r="G9" i="8" l="1"/>
  <c r="G10" i="8"/>
  <c r="G11" i="8"/>
  <c r="G12" i="8"/>
  <c r="G13" i="8"/>
  <c r="G14" i="8"/>
  <c r="G15" i="8"/>
  <c r="G16" i="8"/>
  <c r="G17" i="8"/>
  <c r="G18" i="8"/>
  <c r="G19" i="8"/>
  <c r="G20" i="8"/>
  <c r="G21" i="8"/>
  <c r="G22" i="8"/>
  <c r="G23" i="8"/>
  <c r="G24" i="8"/>
  <c r="G25" i="8"/>
  <c r="G26" i="8"/>
  <c r="G27" i="8"/>
  <c r="G8" i="8"/>
  <c r="K39" i="15"/>
  <c r="N27" i="52" l="1"/>
  <c r="N31" i="51" s="1"/>
  <c r="N32" i="51" s="1"/>
  <c r="M27" i="52"/>
  <c r="M31" i="51" s="1"/>
  <c r="M32" i="51" s="1"/>
  <c r="L27" i="52"/>
  <c r="L31" i="51" s="1"/>
  <c r="L32" i="51" s="1"/>
  <c r="K27" i="52"/>
  <c r="K31" i="51" s="1"/>
  <c r="K32" i="51" s="1"/>
  <c r="J27" i="52"/>
  <c r="J31" i="51" s="1"/>
  <c r="J32" i="51" s="1"/>
  <c r="I27" i="52"/>
  <c r="I31" i="51" s="1"/>
  <c r="I32" i="51" s="1"/>
  <c r="H27" i="52"/>
  <c r="H31" i="51" s="1"/>
  <c r="H32" i="51" s="1"/>
  <c r="G27" i="52"/>
  <c r="G31" i="51" s="1"/>
  <c r="G32" i="51" s="1"/>
  <c r="F27" i="52"/>
  <c r="F31" i="51" s="1"/>
  <c r="F32" i="51" s="1"/>
  <c r="E27" i="52"/>
  <c r="E31" i="51" s="1"/>
  <c r="E32" i="51" s="1"/>
  <c r="D27" i="52"/>
  <c r="D31" i="51" s="1"/>
  <c r="D32" i="51" s="1"/>
  <c r="C27" i="52"/>
  <c r="C31" i="51" s="1"/>
  <c r="B27" i="52"/>
  <c r="O26" i="52"/>
  <c r="O25" i="52"/>
  <c r="O24" i="52"/>
  <c r="O23" i="52"/>
  <c r="O22" i="52"/>
  <c r="O21" i="52"/>
  <c r="O20" i="52"/>
  <c r="O19" i="52"/>
  <c r="O18" i="52"/>
  <c r="O17" i="52"/>
  <c r="O16" i="52"/>
  <c r="O15" i="52"/>
  <c r="O14" i="52"/>
  <c r="O13" i="52"/>
  <c r="O12" i="52"/>
  <c r="O11" i="52"/>
  <c r="O10" i="52"/>
  <c r="O9" i="52"/>
  <c r="O8" i="52"/>
  <c r="O7" i="52"/>
  <c r="C32" i="51"/>
  <c r="B24" i="50"/>
  <c r="N27" i="49"/>
  <c r="N30" i="48" s="1"/>
  <c r="N31" i="48" s="1"/>
  <c r="M27" i="49"/>
  <c r="M30" i="48" s="1"/>
  <c r="M31" i="48" s="1"/>
  <c r="L27" i="49"/>
  <c r="L30" i="48" s="1"/>
  <c r="L31" i="48" s="1"/>
  <c r="K27" i="49"/>
  <c r="K30" i="48" s="1"/>
  <c r="K31" i="48" s="1"/>
  <c r="J27" i="49"/>
  <c r="J30" i="48" s="1"/>
  <c r="J31" i="48" s="1"/>
  <c r="I27" i="49"/>
  <c r="I30" i="48" s="1"/>
  <c r="I31" i="48" s="1"/>
  <c r="H27" i="49"/>
  <c r="H30" i="48" s="1"/>
  <c r="H31" i="48" s="1"/>
  <c r="G27" i="49"/>
  <c r="G30" i="48" s="1"/>
  <c r="G31" i="48" s="1"/>
  <c r="F27" i="49"/>
  <c r="F30" i="48" s="1"/>
  <c r="F31" i="48" s="1"/>
  <c r="E27" i="49"/>
  <c r="E30" i="48" s="1"/>
  <c r="E31" i="48" s="1"/>
  <c r="D27" i="49"/>
  <c r="D30" i="48" s="1"/>
  <c r="D31" i="48" s="1"/>
  <c r="C27" i="49"/>
  <c r="O27" i="49" s="1"/>
  <c r="B27" i="49"/>
  <c r="O26" i="49"/>
  <c r="O25" i="49"/>
  <c r="O24" i="49"/>
  <c r="O23" i="49"/>
  <c r="O22" i="49"/>
  <c r="O21" i="49"/>
  <c r="O20" i="49"/>
  <c r="O19" i="49"/>
  <c r="O18" i="49"/>
  <c r="O17" i="49"/>
  <c r="O16" i="49"/>
  <c r="O15" i="49"/>
  <c r="O14" i="49"/>
  <c r="O13" i="49"/>
  <c r="O12" i="49"/>
  <c r="O11" i="49"/>
  <c r="O10" i="49"/>
  <c r="O9" i="49"/>
  <c r="O8" i="49"/>
  <c r="O7" i="49"/>
  <c r="C31" i="48"/>
  <c r="K26" i="47"/>
  <c r="J24" i="47"/>
  <c r="D23" i="47"/>
  <c r="L21" i="47"/>
  <c r="J19" i="47"/>
  <c r="N18" i="47"/>
  <c r="M16" i="47"/>
  <c r="K15" i="47"/>
  <c r="M14" i="47"/>
  <c r="K11" i="47"/>
  <c r="M10" i="47"/>
  <c r="K9" i="47"/>
  <c r="M8" i="47"/>
  <c r="K7" i="47"/>
  <c r="B24" i="46"/>
  <c r="N28" i="45"/>
  <c r="M28" i="45"/>
  <c r="L28" i="45"/>
  <c r="K28" i="45"/>
  <c r="J28" i="45"/>
  <c r="I28" i="45"/>
  <c r="H28" i="45"/>
  <c r="G28" i="45"/>
  <c r="F28" i="45"/>
  <c r="E28" i="45"/>
  <c r="D28" i="45"/>
  <c r="C28" i="45"/>
  <c r="B27" i="45"/>
  <c r="O26" i="45"/>
  <c r="O25" i="45"/>
  <c r="O24" i="45"/>
  <c r="O23" i="45"/>
  <c r="O22" i="45"/>
  <c r="O21" i="45"/>
  <c r="O20" i="45"/>
  <c r="O19" i="45"/>
  <c r="O18" i="45"/>
  <c r="O17" i="45"/>
  <c r="O16" i="45"/>
  <c r="O15" i="45"/>
  <c r="O14" i="45"/>
  <c r="O13" i="45"/>
  <c r="O12" i="45"/>
  <c r="O11" i="45"/>
  <c r="O10" i="45"/>
  <c r="O9" i="45"/>
  <c r="O8" i="45"/>
  <c r="N28" i="44"/>
  <c r="M28" i="44"/>
  <c r="L28" i="44"/>
  <c r="K28" i="44"/>
  <c r="J28" i="44"/>
  <c r="I28" i="44"/>
  <c r="H28" i="44"/>
  <c r="G28" i="44"/>
  <c r="F28" i="44"/>
  <c r="E28" i="44"/>
  <c r="D28" i="44"/>
  <c r="C28" i="44"/>
  <c r="B27" i="44"/>
  <c r="N25" i="43"/>
  <c r="M25" i="43"/>
  <c r="L25" i="43"/>
  <c r="K25" i="43"/>
  <c r="J25" i="43"/>
  <c r="I25" i="43"/>
  <c r="H25" i="43"/>
  <c r="G25" i="43"/>
  <c r="F25" i="43"/>
  <c r="E25" i="43"/>
  <c r="D25" i="43"/>
  <c r="C25" i="43"/>
  <c r="B24" i="43"/>
  <c r="K31" i="42"/>
  <c r="G31" i="42"/>
  <c r="C31" i="42"/>
  <c r="O30" i="42"/>
  <c r="N31" i="42"/>
  <c r="M31" i="42"/>
  <c r="L31" i="42"/>
  <c r="J31" i="42"/>
  <c r="I31" i="42"/>
  <c r="H31" i="42"/>
  <c r="F31" i="42"/>
  <c r="E31" i="42"/>
  <c r="D31" i="42"/>
  <c r="B27" i="42"/>
  <c r="O26" i="42"/>
  <c r="O25" i="42"/>
  <c r="O24" i="42"/>
  <c r="O23" i="42"/>
  <c r="O22" i="42"/>
  <c r="O21" i="42"/>
  <c r="O20" i="42"/>
  <c r="O19" i="42"/>
  <c r="O18" i="42"/>
  <c r="O17" i="42"/>
  <c r="O16" i="42"/>
  <c r="O15" i="42"/>
  <c r="O14" i="42"/>
  <c r="O13" i="42"/>
  <c r="O12" i="42"/>
  <c r="O11" i="42"/>
  <c r="O10" i="42"/>
  <c r="O9" i="42"/>
  <c r="O8" i="42"/>
  <c r="O7" i="42"/>
  <c r="B24" i="40"/>
  <c r="L32" i="38"/>
  <c r="K32" i="38"/>
  <c r="D32" i="38"/>
  <c r="C32" i="38"/>
  <c r="O33" i="39"/>
  <c r="N27" i="39"/>
  <c r="N32" i="38" s="1"/>
  <c r="M27" i="39"/>
  <c r="M32" i="38" s="1"/>
  <c r="L27" i="39"/>
  <c r="K27" i="39"/>
  <c r="J27" i="39"/>
  <c r="J32" i="38" s="1"/>
  <c r="I27" i="39"/>
  <c r="I32" i="38" s="1"/>
  <c r="H27" i="39"/>
  <c r="G27" i="39"/>
  <c r="F27" i="39"/>
  <c r="F32" i="38" s="1"/>
  <c r="E27" i="39"/>
  <c r="E32" i="38" s="1"/>
  <c r="D27" i="39"/>
  <c r="C27" i="39"/>
  <c r="B27" i="39"/>
  <c r="O26" i="39"/>
  <c r="O25" i="39"/>
  <c r="O24" i="39"/>
  <c r="O23" i="39"/>
  <c r="O22" i="39"/>
  <c r="O21" i="39"/>
  <c r="O20" i="39"/>
  <c r="O19" i="39"/>
  <c r="O18" i="39"/>
  <c r="O17" i="39"/>
  <c r="O16" i="39"/>
  <c r="O15" i="39"/>
  <c r="O14" i="39"/>
  <c r="O13" i="39"/>
  <c r="O12" i="39"/>
  <c r="O11" i="39"/>
  <c r="O10" i="39"/>
  <c r="O9" i="39"/>
  <c r="O8" i="39"/>
  <c r="O7" i="39"/>
  <c r="H32" i="38"/>
  <c r="G32" i="38"/>
  <c r="N31" i="36"/>
  <c r="N27" i="35" s="1"/>
  <c r="J31" i="36"/>
  <c r="J27" i="35" s="1"/>
  <c r="H31" i="36"/>
  <c r="H27" i="35" s="1"/>
  <c r="O27" i="36"/>
  <c r="B27" i="36"/>
  <c r="O26" i="36"/>
  <c r="O25" i="36"/>
  <c r="O24" i="36"/>
  <c r="O23" i="36"/>
  <c r="O22" i="36"/>
  <c r="O21" i="36"/>
  <c r="O20" i="36"/>
  <c r="O19" i="36"/>
  <c r="O18" i="36"/>
  <c r="O17" i="36"/>
  <c r="O16" i="36"/>
  <c r="O15" i="36"/>
  <c r="O14" i="36"/>
  <c r="O13" i="36"/>
  <c r="O12" i="36"/>
  <c r="O11" i="36"/>
  <c r="O10" i="36"/>
  <c r="O9" i="36"/>
  <c r="O8" i="36"/>
  <c r="O7" i="36"/>
  <c r="B24" i="34"/>
  <c r="O32" i="32"/>
  <c r="N26" i="32"/>
  <c r="M26" i="32"/>
  <c r="L26" i="32"/>
  <c r="K26" i="32"/>
  <c r="J26" i="32"/>
  <c r="I26" i="32"/>
  <c r="H26" i="32"/>
  <c r="G26" i="32"/>
  <c r="F26" i="32"/>
  <c r="E26" i="32"/>
  <c r="D26" i="32"/>
  <c r="C26" i="32"/>
  <c r="N25" i="32"/>
  <c r="M25" i="32"/>
  <c r="L25" i="32"/>
  <c r="K25" i="32"/>
  <c r="J25" i="32"/>
  <c r="I25" i="32"/>
  <c r="H25" i="32"/>
  <c r="G25" i="32"/>
  <c r="F25" i="32"/>
  <c r="E25" i="32"/>
  <c r="D25" i="32"/>
  <c r="C25" i="32"/>
  <c r="N24" i="32"/>
  <c r="M24" i="32"/>
  <c r="L24" i="32"/>
  <c r="K24" i="32"/>
  <c r="J24" i="32"/>
  <c r="I24" i="32"/>
  <c r="H24" i="32"/>
  <c r="G24" i="32"/>
  <c r="F24" i="32"/>
  <c r="E24" i="32"/>
  <c r="D24" i="32"/>
  <c r="C24" i="32"/>
  <c r="N23" i="32"/>
  <c r="M23" i="32"/>
  <c r="L23" i="32"/>
  <c r="K23" i="32"/>
  <c r="J23" i="32"/>
  <c r="I23" i="32"/>
  <c r="H23" i="32"/>
  <c r="G23" i="32"/>
  <c r="F23" i="32"/>
  <c r="E23" i="32"/>
  <c r="D23" i="32"/>
  <c r="C23" i="32"/>
  <c r="N22" i="32"/>
  <c r="M22" i="32"/>
  <c r="L22" i="32"/>
  <c r="K22" i="32"/>
  <c r="J22" i="32"/>
  <c r="I22" i="32"/>
  <c r="H22" i="32"/>
  <c r="G22" i="32"/>
  <c r="F22" i="32"/>
  <c r="E22" i="32"/>
  <c r="D22" i="32"/>
  <c r="C22" i="32"/>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B7" i="32"/>
  <c r="M7" i="32" s="1"/>
  <c r="M27" i="32" s="1"/>
  <c r="F29" i="45" l="1"/>
  <c r="J29" i="45"/>
  <c r="N29" i="45"/>
  <c r="O22" i="32"/>
  <c r="O23" i="32"/>
  <c r="O24" i="32"/>
  <c r="O25" i="32"/>
  <c r="O26" i="32"/>
  <c r="E31" i="36"/>
  <c r="E27" i="35" s="1"/>
  <c r="I31" i="36"/>
  <c r="I27" i="35" s="1"/>
  <c r="M31" i="36"/>
  <c r="M27" i="35" s="1"/>
  <c r="H29" i="45"/>
  <c r="L29" i="45"/>
  <c r="E32" i="48"/>
  <c r="E33" i="48"/>
  <c r="I33" i="48"/>
  <c r="I32" i="48"/>
  <c r="M32" i="48"/>
  <c r="M33" i="48"/>
  <c r="F31" i="36"/>
  <c r="F27" i="35" s="1"/>
  <c r="E29" i="45"/>
  <c r="I29" i="45"/>
  <c r="M29" i="45"/>
  <c r="F32" i="48"/>
  <c r="F33" i="48"/>
  <c r="J32" i="48"/>
  <c r="J33" i="48"/>
  <c r="N32" i="48"/>
  <c r="N33" i="48"/>
  <c r="G32" i="48"/>
  <c r="G33" i="48"/>
  <c r="K33" i="48"/>
  <c r="K32" i="48"/>
  <c r="D31" i="36"/>
  <c r="D27" i="35" s="1"/>
  <c r="L31" i="36"/>
  <c r="L27" i="35" s="1"/>
  <c r="G29" i="45"/>
  <c r="K29" i="45"/>
  <c r="D32" i="48"/>
  <c r="D33" i="48"/>
  <c r="H32" i="48"/>
  <c r="H33" i="48"/>
  <c r="L32" i="48"/>
  <c r="L33" i="48"/>
  <c r="F29" i="44"/>
  <c r="F24" i="43"/>
  <c r="F26" i="43" s="1"/>
  <c r="O9" i="44"/>
  <c r="O11" i="44"/>
  <c r="O13" i="44"/>
  <c r="O14" i="44"/>
  <c r="O15" i="44"/>
  <c r="O17" i="44"/>
  <c r="O21" i="44"/>
  <c r="O22" i="44"/>
  <c r="O23" i="44"/>
  <c r="O25" i="44"/>
  <c r="D29" i="44"/>
  <c r="H29" i="44"/>
  <c r="L29" i="44"/>
  <c r="H24" i="43"/>
  <c r="H26" i="43" s="1"/>
  <c r="L24" i="43"/>
  <c r="L26" i="43" s="1"/>
  <c r="O18" i="43"/>
  <c r="O19" i="43"/>
  <c r="O22" i="43"/>
  <c r="O14" i="43"/>
  <c r="O20" i="43"/>
  <c r="O6" i="43"/>
  <c r="O8" i="43"/>
  <c r="O10" i="43"/>
  <c r="O11" i="43"/>
  <c r="C29" i="45"/>
  <c r="G7" i="32"/>
  <c r="G27" i="32" s="1"/>
  <c r="K7" i="32"/>
  <c r="K27" i="32" s="1"/>
  <c r="G16" i="47"/>
  <c r="J18" i="47"/>
  <c r="C7" i="32"/>
  <c r="C27" i="32" s="1"/>
  <c r="I15" i="47"/>
  <c r="E19" i="47"/>
  <c r="B27" i="32"/>
  <c r="E7" i="47"/>
  <c r="E9" i="47"/>
  <c r="E11" i="47"/>
  <c r="E15" i="47"/>
  <c r="H18" i="47"/>
  <c r="L19" i="47"/>
  <c r="F21" i="47"/>
  <c r="I23" i="47"/>
  <c r="K24" i="47"/>
  <c r="D26" i="47"/>
  <c r="I7" i="47"/>
  <c r="G8" i="47"/>
  <c r="I9" i="47"/>
  <c r="G10" i="47"/>
  <c r="I11" i="47"/>
  <c r="G14" i="47"/>
  <c r="I21" i="47"/>
  <c r="N23" i="47"/>
  <c r="J26" i="47"/>
  <c r="M7" i="47"/>
  <c r="K8" i="47"/>
  <c r="M9" i="47"/>
  <c r="K10" i="47"/>
  <c r="M11" i="47"/>
  <c r="K14" i="47"/>
  <c r="M15" i="47"/>
  <c r="K16" i="47"/>
  <c r="D18" i="47"/>
  <c r="K18" i="47"/>
  <c r="F19" i="47"/>
  <c r="D21" i="47"/>
  <c r="J21" i="47"/>
  <c r="F18" i="47"/>
  <c r="E21" i="47"/>
  <c r="N21" i="47"/>
  <c r="F24" i="47"/>
  <c r="N24" i="43"/>
  <c r="N26" i="43" s="1"/>
  <c r="F7" i="32"/>
  <c r="F27" i="32" s="1"/>
  <c r="J7" i="32"/>
  <c r="J27" i="32" s="1"/>
  <c r="N7" i="32"/>
  <c r="N27" i="32" s="1"/>
  <c r="C29" i="44"/>
  <c r="G29" i="44"/>
  <c r="K29" i="44"/>
  <c r="O7" i="44"/>
  <c r="J29" i="44"/>
  <c r="K24" i="43"/>
  <c r="K26" i="43" s="1"/>
  <c r="J24" i="43"/>
  <c r="J26" i="43" s="1"/>
  <c r="N29" i="44"/>
  <c r="H7" i="32"/>
  <c r="H27" i="32" s="1"/>
  <c r="O12" i="43"/>
  <c r="O19" i="44"/>
  <c r="G24" i="43"/>
  <c r="G26" i="43" s="1"/>
  <c r="D7" i="32"/>
  <c r="D27" i="32" s="1"/>
  <c r="L7" i="32"/>
  <c r="L27" i="32" s="1"/>
  <c r="E7" i="32"/>
  <c r="E27" i="32" s="1"/>
  <c r="I7" i="32"/>
  <c r="I27" i="32" s="1"/>
  <c r="C31" i="36"/>
  <c r="C27" i="35" s="1"/>
  <c r="G31" i="36"/>
  <c r="G27" i="35" s="1"/>
  <c r="K31" i="36"/>
  <c r="K27" i="35" s="1"/>
  <c r="O30" i="36"/>
  <c r="O31" i="36" s="1"/>
  <c r="O27" i="39"/>
  <c r="O32" i="38" s="1"/>
  <c r="O16" i="43"/>
  <c r="O9" i="43"/>
  <c r="O17" i="43"/>
  <c r="O12" i="44"/>
  <c r="O20" i="44"/>
  <c r="O30" i="48"/>
  <c r="O31" i="48" s="1"/>
  <c r="O27" i="42"/>
  <c r="O31" i="42" s="1"/>
  <c r="O13" i="43"/>
  <c r="O21" i="43"/>
  <c r="O25" i="43"/>
  <c r="O8" i="44"/>
  <c r="O16" i="44"/>
  <c r="O24" i="44"/>
  <c r="O28" i="44"/>
  <c r="E24" i="43"/>
  <c r="E26" i="43" s="1"/>
  <c r="I24" i="43"/>
  <c r="I26" i="43" s="1"/>
  <c r="M24" i="43"/>
  <c r="M26" i="43" s="1"/>
  <c r="O7" i="43"/>
  <c r="O15" i="43"/>
  <c r="O23" i="43"/>
  <c r="E29" i="44"/>
  <c r="I29" i="44"/>
  <c r="M29" i="44"/>
  <c r="O10" i="44"/>
  <c r="O18" i="44"/>
  <c r="O26" i="44"/>
  <c r="O28" i="45"/>
  <c r="D7" i="47"/>
  <c r="H7" i="47"/>
  <c r="L7" i="47"/>
  <c r="F8" i="47"/>
  <c r="J8" i="47"/>
  <c r="N8" i="47"/>
  <c r="D9" i="47"/>
  <c r="H9" i="47"/>
  <c r="L9" i="47"/>
  <c r="F10" i="47"/>
  <c r="J10" i="47"/>
  <c r="N10" i="47"/>
  <c r="D11" i="47"/>
  <c r="H11" i="47"/>
  <c r="L11" i="47"/>
  <c r="F14" i="47"/>
  <c r="J14" i="47"/>
  <c r="N14" i="47"/>
  <c r="D15" i="47"/>
  <c r="H15" i="47"/>
  <c r="L15" i="47"/>
  <c r="F16" i="47"/>
  <c r="J16" i="47"/>
  <c r="N16" i="47"/>
  <c r="K23" i="47"/>
  <c r="G23" i="47"/>
  <c r="H23" i="47"/>
  <c r="M23" i="47"/>
  <c r="D24" i="47"/>
  <c r="H26" i="47"/>
  <c r="N26" i="47"/>
  <c r="C33" i="48"/>
  <c r="C32" i="48"/>
  <c r="F7" i="47"/>
  <c r="J7" i="47"/>
  <c r="N7" i="47"/>
  <c r="D8" i="47"/>
  <c r="H8" i="47"/>
  <c r="L8" i="47"/>
  <c r="F9" i="47"/>
  <c r="J9" i="47"/>
  <c r="N9" i="47"/>
  <c r="D10" i="47"/>
  <c r="H10" i="47"/>
  <c r="L10" i="47"/>
  <c r="F11" i="47"/>
  <c r="J11" i="47"/>
  <c r="N11" i="47"/>
  <c r="D14" i="47"/>
  <c r="H14" i="47"/>
  <c r="L14" i="47"/>
  <c r="F15" i="47"/>
  <c r="J15" i="47"/>
  <c r="N15" i="47"/>
  <c r="D16" i="47"/>
  <c r="H16" i="47"/>
  <c r="L16" i="47"/>
  <c r="K19" i="47"/>
  <c r="G19" i="47"/>
  <c r="H19" i="47"/>
  <c r="M19" i="47"/>
  <c r="E23" i="47"/>
  <c r="J23" i="47"/>
  <c r="M24" i="47"/>
  <c r="I24" i="47"/>
  <c r="E24" i="47"/>
  <c r="G24" i="47"/>
  <c r="L24" i="47"/>
  <c r="F26" i="47"/>
  <c r="O30" i="51"/>
  <c r="C7" i="47"/>
  <c r="G7" i="47"/>
  <c r="E8" i="47"/>
  <c r="I8" i="47"/>
  <c r="G9" i="47"/>
  <c r="E10" i="47"/>
  <c r="I10" i="47"/>
  <c r="G11" i="47"/>
  <c r="E14" i="47"/>
  <c r="I14" i="47"/>
  <c r="G15" i="47"/>
  <c r="E16" i="47"/>
  <c r="I16" i="47"/>
  <c r="M18" i="47"/>
  <c r="I18" i="47"/>
  <c r="E18" i="47"/>
  <c r="G18" i="47"/>
  <c r="L18" i="47"/>
  <c r="D19" i="47"/>
  <c r="I19" i="47"/>
  <c r="N19" i="47"/>
  <c r="K21" i="47"/>
  <c r="G21" i="47"/>
  <c r="H21" i="47"/>
  <c r="M21" i="47"/>
  <c r="F23" i="47"/>
  <c r="L23" i="47"/>
  <c r="H24" i="47"/>
  <c r="N24" i="47"/>
  <c r="M26" i="47"/>
  <c r="I26" i="47"/>
  <c r="E26" i="47"/>
  <c r="G26" i="47"/>
  <c r="L26" i="47"/>
  <c r="O31" i="51"/>
  <c r="O27" i="52"/>
  <c r="O33" i="45" l="1"/>
  <c r="O5" i="43"/>
  <c r="O16" i="47"/>
  <c r="O8" i="47"/>
  <c r="O27" i="32"/>
  <c r="O34" i="32" s="1"/>
  <c r="O26" i="47"/>
  <c r="C24" i="43"/>
  <c r="C26" i="43" s="1"/>
  <c r="O19" i="47"/>
  <c r="O18" i="47"/>
  <c r="O15" i="47"/>
  <c r="O11" i="47"/>
  <c r="O9" i="47"/>
  <c r="O7" i="47"/>
  <c r="O14" i="47"/>
  <c r="O10" i="47"/>
  <c r="O24" i="47"/>
  <c r="O32" i="51"/>
  <c r="O33" i="48"/>
  <c r="O32" i="48"/>
  <c r="O7" i="32"/>
  <c r="O27" i="44"/>
  <c r="O29" i="44" s="1"/>
  <c r="O21" i="47"/>
  <c r="O23" i="47"/>
  <c r="O24" i="33"/>
  <c r="O27" i="35"/>
  <c r="L40" i="15"/>
  <c r="K41" i="15" l="1"/>
  <c r="K46" i="15" l="1"/>
  <c r="K28" i="22" l="1"/>
  <c r="C28" i="22"/>
  <c r="K64" i="15" l="1"/>
  <c r="K66" i="15" s="1"/>
  <c r="K59" i="15"/>
  <c r="K54" i="15"/>
  <c r="K49" i="15"/>
  <c r="O43" i="15"/>
  <c r="K34" i="15"/>
  <c r="N27" i="21" l="1"/>
  <c r="N34" i="21" s="1"/>
  <c r="M27" i="21"/>
  <c r="M34" i="21" s="1"/>
  <c r="L27" i="21"/>
  <c r="L34" i="21" s="1"/>
  <c r="K27" i="21"/>
  <c r="K34" i="21" s="1"/>
  <c r="J27" i="21"/>
  <c r="J34" i="21" s="1"/>
  <c r="I27" i="21"/>
  <c r="I34" i="21" s="1"/>
  <c r="H27" i="21"/>
  <c r="H34" i="21" s="1"/>
  <c r="G27" i="21"/>
  <c r="G34" i="21" s="1"/>
  <c r="F27" i="21"/>
  <c r="F34" i="21" s="1"/>
  <c r="E27" i="21"/>
  <c r="E34" i="21" s="1"/>
  <c r="D27" i="21"/>
  <c r="D34" i="21" s="1"/>
  <c r="C27" i="21"/>
  <c r="C34" i="21" s="1"/>
  <c r="B27" i="21"/>
  <c r="O26" i="21"/>
  <c r="O25" i="21"/>
  <c r="O24" i="21"/>
  <c r="O23" i="21"/>
  <c r="O22" i="21"/>
  <c r="O21" i="21"/>
  <c r="O20" i="21"/>
  <c r="O19" i="21"/>
  <c r="O18" i="21"/>
  <c r="O17" i="21"/>
  <c r="O16" i="21"/>
  <c r="O15" i="21"/>
  <c r="O14" i="21"/>
  <c r="O13" i="21"/>
  <c r="O12" i="21"/>
  <c r="O11" i="21"/>
  <c r="O10" i="21"/>
  <c r="O9" i="21"/>
  <c r="O8" i="21"/>
  <c r="O7" i="21"/>
  <c r="O27" i="21" s="1"/>
  <c r="AB10" i="3" l="1"/>
  <c r="AB11" i="3"/>
  <c r="AB12" i="3"/>
  <c r="AB13" i="3"/>
  <c r="AB14" i="3"/>
  <c r="AB15" i="3"/>
  <c r="AB16" i="3"/>
  <c r="AB17" i="3"/>
  <c r="AB18" i="3"/>
  <c r="AB19" i="3"/>
  <c r="AB20" i="3"/>
  <c r="AB21" i="3"/>
  <c r="AB22" i="3"/>
  <c r="AB23" i="3"/>
  <c r="AB24" i="3"/>
  <c r="AB25" i="3"/>
  <c r="AB26" i="3"/>
  <c r="AB27" i="3"/>
  <c r="AB28" i="3"/>
  <c r="AB9" i="3"/>
  <c r="D28" i="8"/>
  <c r="D10" i="8" s="1"/>
  <c r="C28" i="4"/>
  <c r="C11" i="4" s="1"/>
  <c r="D29" i="20"/>
  <c r="D10" i="20" s="1"/>
  <c r="C29" i="20"/>
  <c r="I28" i="14"/>
  <c r="F28" i="14"/>
  <c r="D28" i="14"/>
  <c r="I28" i="13"/>
  <c r="F28" i="13"/>
  <c r="D28" i="13"/>
  <c r="D19" i="8" l="1"/>
  <c r="D27" i="8"/>
  <c r="D11" i="8"/>
  <c r="D23" i="8"/>
  <c r="D15" i="8"/>
  <c r="D25" i="8"/>
  <c r="D21" i="8"/>
  <c r="D17" i="8"/>
  <c r="D13" i="8"/>
  <c r="D9" i="8"/>
  <c r="D8" i="8"/>
  <c r="D24" i="8"/>
  <c r="D20" i="8"/>
  <c r="D16" i="8"/>
  <c r="D12" i="8"/>
  <c r="D26" i="8"/>
  <c r="D22" i="8"/>
  <c r="D18" i="8"/>
  <c r="D14" i="8"/>
  <c r="C18" i="4"/>
  <c r="C14" i="4"/>
  <c r="C22" i="4"/>
  <c r="C26" i="4"/>
  <c r="C10" i="4"/>
  <c r="D23" i="20"/>
  <c r="D15" i="20"/>
  <c r="D27" i="20"/>
  <c r="D11" i="20"/>
  <c r="D19" i="20"/>
  <c r="D9" i="20"/>
  <c r="D25" i="20"/>
  <c r="D21" i="20"/>
  <c r="D17" i="20"/>
  <c r="D13" i="20"/>
  <c r="D28" i="20"/>
  <c r="D24" i="20"/>
  <c r="D20" i="20"/>
  <c r="D16" i="20"/>
  <c r="D12" i="20"/>
  <c r="D26" i="20"/>
  <c r="D22" i="20"/>
  <c r="D18" i="20"/>
  <c r="D14" i="20"/>
  <c r="C25" i="4"/>
  <c r="C21" i="4"/>
  <c r="C17" i="4"/>
  <c r="C13" i="4"/>
  <c r="C9" i="4"/>
  <c r="C8" i="4"/>
  <c r="C24" i="4"/>
  <c r="C20" i="4"/>
  <c r="C16" i="4"/>
  <c r="C12" i="4"/>
  <c r="C27" i="4"/>
  <c r="C23" i="4"/>
  <c r="C19" i="4"/>
  <c r="C15" i="4"/>
  <c r="L64" i="15" l="1"/>
  <c r="M26" i="5" l="1"/>
  <c r="M23" i="5"/>
  <c r="M18" i="5"/>
  <c r="M14" i="5"/>
  <c r="M13"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C26" i="18"/>
  <c r="C24" i="18"/>
  <c r="C23" i="18"/>
  <c r="C22" i="18"/>
  <c r="C21" i="18"/>
  <c r="C20" i="18"/>
  <c r="C19" i="18"/>
  <c r="C18" i="18"/>
  <c r="C17" i="18"/>
  <c r="C16" i="18"/>
  <c r="C15" i="18"/>
  <c r="C14" i="18"/>
  <c r="C12" i="18"/>
  <c r="C11" i="18"/>
  <c r="C10" i="18"/>
  <c r="C9" i="18"/>
  <c r="C28" i="18"/>
  <c r="C13" i="18"/>
  <c r="C25" i="18" l="1"/>
  <c r="C27" i="18"/>
  <c r="K56" i="18"/>
  <c r="H56" i="18"/>
  <c r="D87" i="19"/>
  <c r="C29" i="18" l="1"/>
  <c r="E10" i="18" s="1"/>
  <c r="F10" i="18" s="1"/>
  <c r="C11" i="19"/>
  <c r="C25" i="19"/>
  <c r="C15" i="19"/>
  <c r="C23" i="19"/>
  <c r="C17" i="19"/>
  <c r="C24" i="19"/>
  <c r="C19" i="19"/>
  <c r="C13" i="19"/>
  <c r="C18" i="19"/>
  <c r="C22" i="19"/>
  <c r="C21" i="19"/>
  <c r="C12" i="19"/>
  <c r="C14" i="19"/>
  <c r="C10" i="19"/>
  <c r="C28" i="19"/>
  <c r="C27" i="19"/>
  <c r="C20" i="19"/>
  <c r="C26" i="19"/>
  <c r="E9" i="18" l="1"/>
  <c r="F9" i="18" s="1"/>
  <c r="E24" i="18"/>
  <c r="F24" i="18" s="1"/>
  <c r="E14" i="18"/>
  <c r="F14" i="18" s="1"/>
  <c r="E15" i="18"/>
  <c r="F15" i="18" s="1"/>
  <c r="E27" i="18"/>
  <c r="F27" i="18" s="1"/>
  <c r="E12" i="18"/>
  <c r="F12" i="18" s="1"/>
  <c r="E11" i="18"/>
  <c r="F11" i="18" s="1"/>
  <c r="E21" i="18"/>
  <c r="F21" i="18" s="1"/>
  <c r="E25" i="18"/>
  <c r="F25" i="18" s="1"/>
  <c r="E18" i="18"/>
  <c r="F18" i="18" s="1"/>
  <c r="E23" i="18"/>
  <c r="F23" i="18" s="1"/>
  <c r="E26" i="18"/>
  <c r="F26" i="18" s="1"/>
  <c r="E22" i="18"/>
  <c r="F22" i="18" s="1"/>
  <c r="E17" i="18"/>
  <c r="F17" i="18" s="1"/>
  <c r="E19" i="18"/>
  <c r="F19" i="18" s="1"/>
  <c r="E13" i="18"/>
  <c r="F13" i="18" s="1"/>
  <c r="E16" i="18"/>
  <c r="F16" i="18" s="1"/>
  <c r="E20" i="18"/>
  <c r="F20" i="18" s="1"/>
  <c r="E28" i="18"/>
  <c r="F28" i="18" s="1"/>
  <c r="C16" i="19"/>
  <c r="C9" i="19"/>
  <c r="C29" i="19" s="1"/>
  <c r="E29" i="18" l="1"/>
  <c r="F29" i="18"/>
  <c r="F27" i="5"/>
  <c r="F26" i="5"/>
  <c r="F25" i="5"/>
  <c r="F24" i="5"/>
  <c r="F23" i="5"/>
  <c r="F22" i="5"/>
  <c r="F21" i="5"/>
  <c r="F20" i="5"/>
  <c r="F19" i="5"/>
  <c r="F18" i="5"/>
  <c r="F17" i="5"/>
  <c r="F16" i="5"/>
  <c r="F15" i="5"/>
  <c r="F14" i="5"/>
  <c r="F13" i="5"/>
  <c r="F12" i="5"/>
  <c r="F11" i="5"/>
  <c r="F10" i="5"/>
  <c r="F9" i="5"/>
  <c r="F8" i="5"/>
  <c r="D9" i="4"/>
  <c r="D10" i="4"/>
  <c r="D11" i="4"/>
  <c r="D12" i="4"/>
  <c r="D13" i="4"/>
  <c r="D14" i="4"/>
  <c r="D15" i="4"/>
  <c r="D16" i="4"/>
  <c r="D17" i="4"/>
  <c r="D18" i="4"/>
  <c r="D19" i="4"/>
  <c r="D20" i="4"/>
  <c r="D21" i="4"/>
  <c r="D22" i="4"/>
  <c r="D23" i="4"/>
  <c r="D24" i="4"/>
  <c r="D25" i="4"/>
  <c r="D26" i="4"/>
  <c r="D27" i="4"/>
  <c r="D8" i="4"/>
  <c r="O111" i="15"/>
  <c r="N111" i="15"/>
  <c r="N117" i="15" s="1"/>
  <c r="L111" i="15"/>
  <c r="K111" i="15"/>
  <c r="H111" i="15"/>
  <c r="G111" i="15"/>
  <c r="E111" i="15"/>
  <c r="D111" i="15"/>
  <c r="F111" i="15" s="1"/>
  <c r="P110" i="15"/>
  <c r="M110" i="15"/>
  <c r="I110" i="15"/>
  <c r="F110" i="15"/>
  <c r="P109" i="15"/>
  <c r="M109" i="15"/>
  <c r="I109" i="15"/>
  <c r="F109" i="15"/>
  <c r="P108" i="15"/>
  <c r="M108" i="15"/>
  <c r="I108" i="15"/>
  <c r="F108" i="15"/>
  <c r="P107" i="15"/>
  <c r="M107" i="15"/>
  <c r="I107" i="15"/>
  <c r="F107" i="15"/>
  <c r="P106" i="15"/>
  <c r="M106" i="15"/>
  <c r="I106" i="15"/>
  <c r="F106" i="15"/>
  <c r="P105" i="15"/>
  <c r="M105" i="15"/>
  <c r="I105" i="15"/>
  <c r="F105" i="15"/>
  <c r="P104" i="15"/>
  <c r="M104" i="15"/>
  <c r="I104" i="15"/>
  <c r="F104" i="15"/>
  <c r="P103" i="15"/>
  <c r="M103" i="15"/>
  <c r="I103" i="15"/>
  <c r="F103" i="15"/>
  <c r="P102" i="15"/>
  <c r="M102" i="15"/>
  <c r="I102" i="15"/>
  <c r="F102" i="15"/>
  <c r="P101" i="15"/>
  <c r="M101" i="15"/>
  <c r="I101" i="15"/>
  <c r="F101" i="15"/>
  <c r="P100" i="15"/>
  <c r="M100" i="15"/>
  <c r="I100" i="15"/>
  <c r="F100" i="15"/>
  <c r="P99" i="15"/>
  <c r="M99" i="15"/>
  <c r="I99" i="15"/>
  <c r="F99" i="15"/>
  <c r="P98" i="15"/>
  <c r="M98" i="15"/>
  <c r="I98" i="15"/>
  <c r="F98" i="15"/>
  <c r="P97" i="15"/>
  <c r="M97" i="15"/>
  <c r="I97" i="15"/>
  <c r="F97" i="15"/>
  <c r="P96" i="15"/>
  <c r="M96" i="15"/>
  <c r="I96" i="15"/>
  <c r="F96" i="15"/>
  <c r="P95" i="15"/>
  <c r="M95" i="15"/>
  <c r="I95" i="15"/>
  <c r="F95" i="15"/>
  <c r="P94" i="15"/>
  <c r="M94" i="15"/>
  <c r="I94" i="15"/>
  <c r="F94" i="15"/>
  <c r="P93" i="15"/>
  <c r="M93" i="15"/>
  <c r="I93" i="15"/>
  <c r="F93" i="15"/>
  <c r="P92" i="15"/>
  <c r="M92" i="15"/>
  <c r="I92" i="15"/>
  <c r="F92" i="15"/>
  <c r="P91" i="15"/>
  <c r="M91" i="15"/>
  <c r="I91" i="15"/>
  <c r="F91" i="15"/>
  <c r="K61" i="15"/>
  <c r="L61" i="15" s="1"/>
  <c r="L60" i="15"/>
  <c r="L59" i="15"/>
  <c r="K56" i="15"/>
  <c r="L56" i="15" s="1"/>
  <c r="L55" i="15"/>
  <c r="L54" i="15"/>
  <c r="K51" i="15"/>
  <c r="F29" i="20" s="1"/>
  <c r="L50" i="15"/>
  <c r="L49" i="15"/>
  <c r="K36" i="15"/>
  <c r="L35" i="15"/>
  <c r="L34" i="15"/>
  <c r="K24" i="15"/>
  <c r="I13" i="15"/>
  <c r="K11" i="15"/>
  <c r="R91" i="15" l="1"/>
  <c r="R93" i="15"/>
  <c r="R99" i="15"/>
  <c r="R101" i="15"/>
  <c r="R107" i="15"/>
  <c r="R109" i="15"/>
  <c r="J92" i="15"/>
  <c r="J95" i="15"/>
  <c r="J97" i="15"/>
  <c r="J99" i="15"/>
  <c r="J102" i="15"/>
  <c r="J104" i="15"/>
  <c r="J106" i="15"/>
  <c r="J107" i="15"/>
  <c r="J109" i="15"/>
  <c r="I111" i="15"/>
  <c r="J91" i="15"/>
  <c r="J93" i="15"/>
  <c r="J94" i="15"/>
  <c r="J96" i="15"/>
  <c r="J98" i="15"/>
  <c r="J100" i="15"/>
  <c r="J101" i="15"/>
  <c r="J103" i="15"/>
  <c r="J105" i="15"/>
  <c r="J108" i="15"/>
  <c r="J110" i="15"/>
  <c r="R94" i="15"/>
  <c r="R95" i="15"/>
  <c r="R105" i="15"/>
  <c r="F10" i="20"/>
  <c r="F15" i="20"/>
  <c r="F12" i="20"/>
  <c r="F16" i="20"/>
  <c r="F20" i="20"/>
  <c r="F24" i="20"/>
  <c r="F13" i="20"/>
  <c r="F17" i="20"/>
  <c r="F21" i="20"/>
  <c r="F25" i="20"/>
  <c r="F14" i="20"/>
  <c r="F18" i="20"/>
  <c r="F22" i="20"/>
  <c r="F26" i="20"/>
  <c r="F9" i="20"/>
  <c r="F19" i="20"/>
  <c r="F23" i="20"/>
  <c r="F27" i="20"/>
  <c r="F11" i="20"/>
  <c r="R110" i="15"/>
  <c r="R100" i="15"/>
  <c r="R98" i="15"/>
  <c r="R106" i="15"/>
  <c r="R104" i="15"/>
  <c r="R103" i="15"/>
  <c r="R102" i="15"/>
  <c r="R97" i="15"/>
  <c r="R96" i="15"/>
  <c r="P111" i="15"/>
  <c r="R92" i="15"/>
  <c r="R108" i="15"/>
  <c r="M111" i="15"/>
  <c r="L36" i="15"/>
  <c r="J28" i="8"/>
  <c r="L51" i="15"/>
  <c r="I12" i="15"/>
  <c r="I19" i="15" s="1"/>
  <c r="K31" i="15"/>
  <c r="K25" i="15"/>
  <c r="K26" i="15" s="1"/>
  <c r="K27" i="15" l="1"/>
  <c r="K28" i="15"/>
  <c r="R111" i="15"/>
  <c r="K29" i="15"/>
  <c r="K30" i="15" s="1"/>
  <c r="I15" i="15"/>
  <c r="D22" i="19" s="1"/>
  <c r="I16" i="15"/>
  <c r="G22" i="18" s="1"/>
  <c r="F22" i="19" s="1"/>
  <c r="I17" i="15"/>
  <c r="S28" i="4" s="1"/>
  <c r="D12" i="19"/>
  <c r="D28" i="19"/>
  <c r="F29" i="1"/>
  <c r="D15" i="19" l="1"/>
  <c r="D25" i="19"/>
  <c r="D11" i="19"/>
  <c r="I18" i="15"/>
  <c r="K18" i="15" s="1"/>
  <c r="G18" i="18"/>
  <c r="F18" i="19" s="1"/>
  <c r="G25" i="18"/>
  <c r="F25" i="19" s="1"/>
  <c r="G25" i="19" s="1"/>
  <c r="D24" i="19"/>
  <c r="D18" i="19"/>
  <c r="G12" i="18"/>
  <c r="F12" i="19" s="1"/>
  <c r="G12" i="19" s="1"/>
  <c r="D21" i="19"/>
  <c r="D27" i="19"/>
  <c r="D14" i="19"/>
  <c r="G28" i="18"/>
  <c r="F28" i="19" s="1"/>
  <c r="G28" i="19" s="1"/>
  <c r="G15" i="18"/>
  <c r="F15" i="19" s="1"/>
  <c r="G25" i="20"/>
  <c r="G13" i="20"/>
  <c r="G24" i="20"/>
  <c r="G20" i="20"/>
  <c r="G28" i="20"/>
  <c r="G12" i="20"/>
  <c r="G9" i="20"/>
  <c r="G19" i="20"/>
  <c r="G23" i="20"/>
  <c r="G11" i="20"/>
  <c r="G17" i="20"/>
  <c r="G18" i="20"/>
  <c r="G16" i="20"/>
  <c r="G10" i="20"/>
  <c r="G21" i="20"/>
  <c r="G27" i="20"/>
  <c r="G15" i="20"/>
  <c r="G22" i="20"/>
  <c r="G26" i="20"/>
  <c r="G14"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H28" i="14"/>
  <c r="L28" i="14" s="1"/>
  <c r="H28" i="13"/>
  <c r="G15" i="19" l="1"/>
  <c r="J15" i="19" s="1"/>
  <c r="G11" i="19"/>
  <c r="J11" i="19" s="1"/>
  <c r="G18" i="19"/>
  <c r="J18" i="19" s="1"/>
  <c r="G26" i="19"/>
  <c r="J26" i="19" s="1"/>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AC14" i="3"/>
  <c r="AC27" i="3"/>
  <c r="AC11" i="3"/>
  <c r="AC12" i="3"/>
  <c r="AC20" i="3"/>
  <c r="AC15" i="3"/>
  <c r="AC17" i="3"/>
  <c r="AC18" i="3"/>
  <c r="AC22" i="3"/>
  <c r="AC10" i="3"/>
  <c r="AC19" i="3"/>
  <c r="AC13" i="3"/>
  <c r="AC26" i="3"/>
  <c r="AC21" i="3"/>
  <c r="AC16" i="3"/>
  <c r="AC23" i="3"/>
  <c r="AC9" i="3"/>
  <c r="AC28" i="3"/>
  <c r="AC24" i="3"/>
  <c r="AC25" i="3"/>
  <c r="F29" i="19"/>
  <c r="J12" i="19"/>
  <c r="J25" i="19"/>
  <c r="J22" i="19"/>
  <c r="J28" i="19"/>
  <c r="D29" i="19"/>
  <c r="G9" i="19"/>
  <c r="AC29"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9" i="3"/>
  <c r="V10" i="3"/>
  <c r="V11" i="3"/>
  <c r="V12" i="3"/>
  <c r="V13" i="3"/>
  <c r="V16" i="3"/>
  <c r="V17" i="3"/>
  <c r="V18" i="3"/>
  <c r="V20" i="3"/>
  <c r="V21" i="3"/>
  <c r="V23" i="3"/>
  <c r="V25" i="3"/>
  <c r="V26" i="3"/>
  <c r="V28"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9" i="3"/>
  <c r="C10" i="3"/>
  <c r="C11" i="3"/>
  <c r="C12" i="3"/>
  <c r="C13" i="3"/>
  <c r="C14" i="3"/>
  <c r="C15" i="3"/>
  <c r="C16" i="3"/>
  <c r="C17" i="3"/>
  <c r="C18" i="3"/>
  <c r="C19" i="3"/>
  <c r="C30" i="11"/>
  <c r="B29" i="1"/>
  <c r="E29" i="1"/>
  <c r="G28" i="1"/>
  <c r="H27" i="4"/>
  <c r="G27" i="1"/>
  <c r="H26" i="4"/>
  <c r="G26" i="1"/>
  <c r="H25" i="4"/>
  <c r="G25" i="1"/>
  <c r="H24" i="4"/>
  <c r="G24" i="1"/>
  <c r="H23" i="4"/>
  <c r="G23" i="1"/>
  <c r="H22" i="4"/>
  <c r="G22" i="1"/>
  <c r="H21" i="4"/>
  <c r="G21" i="1"/>
  <c r="H20" i="4"/>
  <c r="G20" i="1"/>
  <c r="H19" i="4"/>
  <c r="G19" i="1"/>
  <c r="H18" i="4"/>
  <c r="G18" i="1"/>
  <c r="H17" i="4"/>
  <c r="G17" i="1"/>
  <c r="H16" i="4"/>
  <c r="G16" i="1"/>
  <c r="H15" i="4"/>
  <c r="G15" i="1"/>
  <c r="H14" i="4"/>
  <c r="G14" i="1"/>
  <c r="H13" i="4"/>
  <c r="G13" i="1"/>
  <c r="H12" i="4"/>
  <c r="G12" i="1"/>
  <c r="H11" i="4"/>
  <c r="G11" i="1"/>
  <c r="H10" i="4"/>
  <c r="G10" i="1"/>
  <c r="H9" i="4"/>
  <c r="G9" i="1"/>
  <c r="H8" i="4"/>
  <c r="M28" i="8"/>
  <c r="C28" i="8"/>
  <c r="C28" i="7"/>
  <c r="D59" i="5"/>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F40" i="5" s="1"/>
  <c r="E39" i="5"/>
  <c r="AA28" i="5"/>
  <c r="Y28" i="5"/>
  <c r="W28" i="5"/>
  <c r="M28" i="5"/>
  <c r="N21" i="5" s="1"/>
  <c r="B20" i="47" s="1"/>
  <c r="D28" i="5"/>
  <c r="V27" i="5"/>
  <c r="X27" i="5" s="1"/>
  <c r="AB26" i="5"/>
  <c r="AB25" i="5"/>
  <c r="V25" i="5"/>
  <c r="X25" i="5" s="1"/>
  <c r="AB24" i="5"/>
  <c r="V24" i="5"/>
  <c r="X24" i="5" s="1"/>
  <c r="AB23" i="5"/>
  <c r="AB22" i="5"/>
  <c r="V22" i="5"/>
  <c r="X22" i="5" s="1"/>
  <c r="AB21" i="5"/>
  <c r="AB20" i="5"/>
  <c r="V20" i="5"/>
  <c r="X20" i="5" s="1"/>
  <c r="AB19" i="5"/>
  <c r="V19" i="5"/>
  <c r="X19" i="5" s="1"/>
  <c r="AB18" i="5"/>
  <c r="AB17" i="5"/>
  <c r="V17" i="5"/>
  <c r="X17" i="5" s="1"/>
  <c r="AB16" i="5"/>
  <c r="V16" i="5"/>
  <c r="X16" i="5" s="1"/>
  <c r="AB15" i="5"/>
  <c r="V15" i="5"/>
  <c r="X15" i="5" s="1"/>
  <c r="AB14" i="5"/>
  <c r="AB13" i="5"/>
  <c r="V12" i="5"/>
  <c r="X12" i="5" s="1"/>
  <c r="V11" i="5"/>
  <c r="X11" i="5" s="1"/>
  <c r="V10" i="5"/>
  <c r="X10" i="5" s="1"/>
  <c r="V9" i="5"/>
  <c r="X9" i="5" s="1"/>
  <c r="V8" i="5"/>
  <c r="X8" i="5" s="1"/>
  <c r="T8" i="5"/>
  <c r="T28" i="5" s="1"/>
  <c r="B28" i="4"/>
  <c r="I8" i="5" l="1"/>
  <c r="H9" i="65"/>
  <c r="I10" i="5"/>
  <c r="H11" i="65"/>
  <c r="I11" i="65" s="1"/>
  <c r="I12" i="5"/>
  <c r="H13" i="65"/>
  <c r="I13" i="65" s="1"/>
  <c r="I14" i="5"/>
  <c r="H15" i="65"/>
  <c r="I15" i="65" s="1"/>
  <c r="I16" i="5"/>
  <c r="H17" i="65"/>
  <c r="I17" i="65" s="1"/>
  <c r="I18" i="5"/>
  <c r="H19" i="65"/>
  <c r="I19" i="65" s="1"/>
  <c r="I20" i="5"/>
  <c r="H21" i="65"/>
  <c r="I21" i="65" s="1"/>
  <c r="I22" i="5"/>
  <c r="H23" i="65"/>
  <c r="I23" i="65" s="1"/>
  <c r="I24" i="5"/>
  <c r="H25" i="65"/>
  <c r="I25" i="65" s="1"/>
  <c r="I26" i="5"/>
  <c r="H27" i="65"/>
  <c r="I27" i="65" s="1"/>
  <c r="I9" i="5"/>
  <c r="H10" i="65"/>
  <c r="I10" i="65" s="1"/>
  <c r="I11" i="5"/>
  <c r="H12" i="65"/>
  <c r="I12" i="65" s="1"/>
  <c r="I13" i="5"/>
  <c r="H14" i="65"/>
  <c r="I14" i="65" s="1"/>
  <c r="I15" i="5"/>
  <c r="H16" i="65"/>
  <c r="I16" i="65" s="1"/>
  <c r="I17" i="5"/>
  <c r="H18" i="65"/>
  <c r="I18" i="65" s="1"/>
  <c r="I19" i="5"/>
  <c r="H20" i="65"/>
  <c r="I20" i="65" s="1"/>
  <c r="I21" i="5"/>
  <c r="H22" i="65"/>
  <c r="I22" i="65" s="1"/>
  <c r="I23" i="5"/>
  <c r="H24" i="65"/>
  <c r="I24" i="65" s="1"/>
  <c r="I25" i="5"/>
  <c r="H26" i="65"/>
  <c r="I26" i="65" s="1"/>
  <c r="W26" i="65" s="1"/>
  <c r="I27" i="5"/>
  <c r="H28" i="65"/>
  <c r="I28" i="65" s="1"/>
  <c r="C20" i="47"/>
  <c r="H20" i="47"/>
  <c r="N20" i="47"/>
  <c r="G20" i="47"/>
  <c r="D20" i="47"/>
  <c r="F20" i="47"/>
  <c r="K20" i="47"/>
  <c r="M20" i="47"/>
  <c r="J20" i="47"/>
  <c r="I20" i="47"/>
  <c r="E20" i="47"/>
  <c r="L20" i="47"/>
  <c r="L27" i="19"/>
  <c r="L9" i="19"/>
  <c r="AB28" i="5"/>
  <c r="L26" i="19"/>
  <c r="L25" i="19"/>
  <c r="L12" i="19"/>
  <c r="L15" i="19"/>
  <c r="L23" i="19"/>
  <c r="L17" i="19"/>
  <c r="L21" i="19"/>
  <c r="L20" i="19"/>
  <c r="L19" i="19"/>
  <c r="L18" i="19"/>
  <c r="L11" i="19"/>
  <c r="L28" i="19"/>
  <c r="M29" i="19"/>
  <c r="E87" i="19" s="1"/>
  <c r="F87" i="19" s="1"/>
  <c r="E67" i="19"/>
  <c r="F67" i="19" s="1"/>
  <c r="L22" i="19"/>
  <c r="L24" i="19"/>
  <c r="L10" i="19"/>
  <c r="L14" i="19"/>
  <c r="L16" i="19"/>
  <c r="N23" i="5"/>
  <c r="N18" i="5"/>
  <c r="N13" i="5"/>
  <c r="V22" i="3"/>
  <c r="V21" i="5"/>
  <c r="X21" i="5" s="1"/>
  <c r="N26" i="5"/>
  <c r="B25" i="47" s="1"/>
  <c r="N14" i="5"/>
  <c r="B13" i="47" s="1"/>
  <c r="E9" i="8"/>
  <c r="I9" i="4"/>
  <c r="J9" i="4" s="1"/>
  <c r="X9" i="4" s="1"/>
  <c r="E11" i="8"/>
  <c r="I11" i="4"/>
  <c r="J11" i="4" s="1"/>
  <c r="X11" i="4" s="1"/>
  <c r="E13" i="8"/>
  <c r="I13" i="4"/>
  <c r="J13" i="4" s="1"/>
  <c r="X13" i="4" s="1"/>
  <c r="E15" i="8"/>
  <c r="I15" i="4"/>
  <c r="E17" i="8"/>
  <c r="I17" i="4"/>
  <c r="J17" i="4" s="1"/>
  <c r="X17" i="4" s="1"/>
  <c r="E19" i="8"/>
  <c r="I19" i="4"/>
  <c r="J19" i="4" s="1"/>
  <c r="X19" i="4" s="1"/>
  <c r="I21" i="4"/>
  <c r="J21" i="4" s="1"/>
  <c r="X21" i="4" s="1"/>
  <c r="E21" i="8"/>
  <c r="E23" i="8"/>
  <c r="I23" i="4"/>
  <c r="J23" i="4" s="1"/>
  <c r="X23" i="4" s="1"/>
  <c r="I25" i="4"/>
  <c r="J25" i="4" s="1"/>
  <c r="X25" i="4" s="1"/>
  <c r="E25" i="8"/>
  <c r="E27" i="8"/>
  <c r="I27" i="4"/>
  <c r="J27" i="4" s="1"/>
  <c r="X27" i="4" s="1"/>
  <c r="E10" i="8"/>
  <c r="I10" i="4"/>
  <c r="J10" i="4" s="1"/>
  <c r="X10" i="4" s="1"/>
  <c r="I12" i="4"/>
  <c r="J12" i="4" s="1"/>
  <c r="X12" i="4" s="1"/>
  <c r="E12" i="8"/>
  <c r="I14" i="4"/>
  <c r="J14" i="4" s="1"/>
  <c r="X14" i="4" s="1"/>
  <c r="E14" i="8"/>
  <c r="I16" i="4"/>
  <c r="J16" i="4" s="1"/>
  <c r="X16" i="4" s="1"/>
  <c r="E16" i="8"/>
  <c r="I18" i="4"/>
  <c r="J18" i="4" s="1"/>
  <c r="X18" i="4" s="1"/>
  <c r="E18" i="8"/>
  <c r="I20" i="4"/>
  <c r="J20" i="4" s="1"/>
  <c r="X20" i="4" s="1"/>
  <c r="E20" i="8"/>
  <c r="I22" i="4"/>
  <c r="J22" i="4" s="1"/>
  <c r="X22" i="4" s="1"/>
  <c r="E22" i="8"/>
  <c r="I24" i="4"/>
  <c r="J24" i="4" s="1"/>
  <c r="X24" i="4" s="1"/>
  <c r="E24" i="8"/>
  <c r="E26" i="8"/>
  <c r="I26" i="4"/>
  <c r="J26" i="4" s="1"/>
  <c r="X26" i="4" s="1"/>
  <c r="I8" i="4"/>
  <c r="J8" i="4" s="1"/>
  <c r="X8" i="4" s="1"/>
  <c r="E8" i="8"/>
  <c r="G29" i="1"/>
  <c r="D29" i="1"/>
  <c r="D28" i="4"/>
  <c r="E10" i="4" s="1"/>
  <c r="E10" i="22" s="1"/>
  <c r="E59" i="5"/>
  <c r="F59" i="5" s="1"/>
  <c r="H28" i="4"/>
  <c r="F28" i="5"/>
  <c r="G9" i="5" s="1"/>
  <c r="D28" i="7"/>
  <c r="G28" i="8"/>
  <c r="C29" i="1"/>
  <c r="E28" i="7"/>
  <c r="F13" i="7" s="1"/>
  <c r="B12" i="41" s="1"/>
  <c r="E28" i="5"/>
  <c r="I28" i="5"/>
  <c r="J12" i="5" s="1"/>
  <c r="K12" i="5" s="1"/>
  <c r="F39" i="5"/>
  <c r="W28" i="65" l="1"/>
  <c r="W24" i="65"/>
  <c r="W20" i="65"/>
  <c r="W16" i="65"/>
  <c r="W12" i="65"/>
  <c r="W27" i="65"/>
  <c r="W23" i="65"/>
  <c r="W19" i="65"/>
  <c r="W15" i="65"/>
  <c r="W11" i="65"/>
  <c r="W22" i="65"/>
  <c r="W18" i="65"/>
  <c r="W14" i="65"/>
  <c r="W10" i="65"/>
  <c r="W25" i="65"/>
  <c r="W21" i="65"/>
  <c r="W17" i="65"/>
  <c r="W13" i="65"/>
  <c r="H29" i="65"/>
  <c r="I9" i="65"/>
  <c r="H9" i="5"/>
  <c r="C25" i="47"/>
  <c r="G25" i="47"/>
  <c r="I25" i="47"/>
  <c r="H25" i="47"/>
  <c r="J25" i="47"/>
  <c r="D25" i="47"/>
  <c r="M25" i="47"/>
  <c r="E25" i="47"/>
  <c r="L25" i="47"/>
  <c r="K25" i="47"/>
  <c r="N25" i="47"/>
  <c r="F25" i="47"/>
  <c r="V19" i="3"/>
  <c r="B17" i="47"/>
  <c r="V24" i="3"/>
  <c r="B22" i="47"/>
  <c r="L12" i="41"/>
  <c r="L9" i="40" s="1"/>
  <c r="J12" i="41"/>
  <c r="J9" i="40" s="1"/>
  <c r="N12" i="41"/>
  <c r="N9" i="40" s="1"/>
  <c r="G12" i="41"/>
  <c r="G9" i="40" s="1"/>
  <c r="M12" i="41"/>
  <c r="M9" i="40" s="1"/>
  <c r="D12" i="41"/>
  <c r="D9" i="40" s="1"/>
  <c r="I12" i="41"/>
  <c r="I9" i="40" s="1"/>
  <c r="F12" i="41"/>
  <c r="F9" i="40" s="1"/>
  <c r="H12" i="41"/>
  <c r="H9" i="40" s="1"/>
  <c r="E12" i="41"/>
  <c r="E9" i="40" s="1"/>
  <c r="K12" i="41"/>
  <c r="K9" i="40" s="1"/>
  <c r="C12" i="41"/>
  <c r="C13" i="47"/>
  <c r="K13" i="47"/>
  <c r="E13" i="47"/>
  <c r="M13" i="47"/>
  <c r="I13" i="47"/>
  <c r="H13" i="47"/>
  <c r="L13" i="47"/>
  <c r="F13" i="47"/>
  <c r="J13" i="47"/>
  <c r="D13" i="47"/>
  <c r="N13" i="47"/>
  <c r="G13" i="47"/>
  <c r="V14" i="3"/>
  <c r="B12" i="47"/>
  <c r="O20" i="47"/>
  <c r="E23" i="4"/>
  <c r="E23" i="22" s="1"/>
  <c r="G23" i="22" s="1"/>
  <c r="E21" i="4"/>
  <c r="E21" i="22" s="1"/>
  <c r="G21" i="22" s="1"/>
  <c r="F10" i="22"/>
  <c r="G10" i="22"/>
  <c r="E25" i="4"/>
  <c r="E25" i="22" s="1"/>
  <c r="E11" i="4"/>
  <c r="E11" i="22" s="1"/>
  <c r="L29" i="19"/>
  <c r="AD14" i="3"/>
  <c r="G13" i="7"/>
  <c r="H13" i="7" s="1"/>
  <c r="AE14" i="3" s="1"/>
  <c r="C23" i="14"/>
  <c r="D23" i="14" s="1"/>
  <c r="C21" i="13"/>
  <c r="D21" i="13" s="1"/>
  <c r="F10" i="4"/>
  <c r="C10" i="14"/>
  <c r="D10" i="14" s="1"/>
  <c r="C10" i="13"/>
  <c r="D10" i="13" s="1"/>
  <c r="N28"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8" i="5"/>
  <c r="X18" i="5" s="1"/>
  <c r="V13" i="5"/>
  <c r="X13" i="5" s="1"/>
  <c r="V23" i="5"/>
  <c r="X23" i="5" s="1"/>
  <c r="V15" i="3"/>
  <c r="V14" i="5"/>
  <c r="X14" i="5" s="1"/>
  <c r="V27" i="3"/>
  <c r="V26" i="5"/>
  <c r="X26" i="5" s="1"/>
  <c r="E26" i="4"/>
  <c r="E26" i="22" s="1"/>
  <c r="E12" i="4"/>
  <c r="E12" i="22" s="1"/>
  <c r="E14" i="4"/>
  <c r="E14" i="22" s="1"/>
  <c r="E17" i="4"/>
  <c r="E17" i="22" s="1"/>
  <c r="I28" i="4"/>
  <c r="J15" i="4"/>
  <c r="X15" i="4" s="1"/>
  <c r="E28" i="8"/>
  <c r="F11" i="8" s="1"/>
  <c r="H11" i="8" s="1"/>
  <c r="J25" i="5"/>
  <c r="J24" i="5"/>
  <c r="K24" i="5" s="1"/>
  <c r="F19" i="7"/>
  <c r="B18" i="41" s="1"/>
  <c r="F25" i="7"/>
  <c r="B24" i="41" s="1"/>
  <c r="G17" i="5"/>
  <c r="G23" i="5"/>
  <c r="G15" i="5"/>
  <c r="G18" i="5"/>
  <c r="G19" i="5"/>
  <c r="G25" i="5"/>
  <c r="G26" i="5"/>
  <c r="G27" i="5"/>
  <c r="G20" i="5"/>
  <c r="G22" i="5"/>
  <c r="G24" i="5"/>
  <c r="G28" i="5"/>
  <c r="G14" i="5"/>
  <c r="J14" i="5"/>
  <c r="K14" i="5" s="1"/>
  <c r="E24" i="4"/>
  <c r="E24" i="22" s="1"/>
  <c r="E22" i="4"/>
  <c r="E22" i="22" s="1"/>
  <c r="E20" i="4"/>
  <c r="E20" i="22" s="1"/>
  <c r="J16" i="5"/>
  <c r="K16" i="5" s="1"/>
  <c r="E19" i="4"/>
  <c r="E19" i="22" s="1"/>
  <c r="E16" i="4"/>
  <c r="E16" i="22" s="1"/>
  <c r="E8" i="4"/>
  <c r="E8" i="22" s="1"/>
  <c r="E9" i="4"/>
  <c r="E9" i="22" s="1"/>
  <c r="E27" i="4"/>
  <c r="E27" i="22" s="1"/>
  <c r="E18" i="4"/>
  <c r="E18" i="22" s="1"/>
  <c r="J11" i="5"/>
  <c r="K11" i="5" s="1"/>
  <c r="E15" i="4"/>
  <c r="E15" i="22" s="1"/>
  <c r="E13" i="4"/>
  <c r="E13" i="22" s="1"/>
  <c r="J26" i="5"/>
  <c r="K26" i="5" s="1"/>
  <c r="G11" i="5"/>
  <c r="J15" i="5"/>
  <c r="K15" i="5" s="1"/>
  <c r="G10" i="5"/>
  <c r="G16" i="5"/>
  <c r="G21" i="5"/>
  <c r="G8" i="5"/>
  <c r="G13" i="5"/>
  <c r="G12" i="5"/>
  <c r="B11" i="48" s="1"/>
  <c r="F27" i="7"/>
  <c r="B26" i="41" s="1"/>
  <c r="F15" i="7"/>
  <c r="B14" i="41" s="1"/>
  <c r="F17" i="7"/>
  <c r="B16" i="41" s="1"/>
  <c r="F23" i="7"/>
  <c r="B22" i="41" s="1"/>
  <c r="F9" i="7"/>
  <c r="B8" i="41" s="1"/>
  <c r="F26" i="7"/>
  <c r="B25" i="41" s="1"/>
  <c r="F22" i="7"/>
  <c r="B21" i="41" s="1"/>
  <c r="F18" i="7"/>
  <c r="B17" i="41" s="1"/>
  <c r="F14" i="7"/>
  <c r="B13" i="41" s="1"/>
  <c r="F10" i="7"/>
  <c r="B9" i="41" s="1"/>
  <c r="F24" i="7"/>
  <c r="B23" i="41" s="1"/>
  <c r="F20" i="7"/>
  <c r="B19" i="41" s="1"/>
  <c r="F16" i="7"/>
  <c r="B15" i="41" s="1"/>
  <c r="F12" i="7"/>
  <c r="B11" i="41" s="1"/>
  <c r="F8" i="7"/>
  <c r="B7" i="41" s="1"/>
  <c r="F21" i="7"/>
  <c r="B20" i="41" s="1"/>
  <c r="F11" i="7"/>
  <c r="B10" i="41" s="1"/>
  <c r="J27" i="5"/>
  <c r="K27" i="5" s="1"/>
  <c r="J23" i="5"/>
  <c r="K23" i="5" s="1"/>
  <c r="J22" i="5"/>
  <c r="K22" i="5" s="1"/>
  <c r="J21" i="5"/>
  <c r="K21" i="5" s="1"/>
  <c r="J20" i="5"/>
  <c r="K20" i="5" s="1"/>
  <c r="J19" i="5"/>
  <c r="K19" i="5" s="1"/>
  <c r="J17" i="5"/>
  <c r="K17" i="5" s="1"/>
  <c r="J28" i="5"/>
  <c r="J10" i="5"/>
  <c r="K10" i="5" s="1"/>
  <c r="J9" i="5"/>
  <c r="K9" i="5" s="1"/>
  <c r="J13" i="5"/>
  <c r="K13" i="5" s="1"/>
  <c r="J8" i="5"/>
  <c r="K8" i="5" s="1"/>
  <c r="J18" i="5"/>
  <c r="K18" i="5" s="1"/>
  <c r="W9" i="65" l="1"/>
  <c r="I29" i="65"/>
  <c r="J9" i="65" s="1"/>
  <c r="J7" i="41"/>
  <c r="L7" i="41"/>
  <c r="N7" i="41"/>
  <c r="M7" i="41"/>
  <c r="D7" i="41"/>
  <c r="G7" i="41"/>
  <c r="H7" i="41"/>
  <c r="E7" i="41"/>
  <c r="K7" i="41"/>
  <c r="I7" i="41"/>
  <c r="F7" i="41"/>
  <c r="C7" i="41"/>
  <c r="B27" i="41"/>
  <c r="L23" i="41"/>
  <c r="L20" i="40" s="1"/>
  <c r="D23" i="41"/>
  <c r="D20" i="40" s="1"/>
  <c r="G23" i="41"/>
  <c r="G20" i="40" s="1"/>
  <c r="J23" i="41"/>
  <c r="J20" i="40" s="1"/>
  <c r="N23" i="41"/>
  <c r="N20" i="40" s="1"/>
  <c r="M23" i="41"/>
  <c r="M20" i="40" s="1"/>
  <c r="F23" i="41"/>
  <c r="F20" i="40" s="1"/>
  <c r="E23" i="41"/>
  <c r="E20" i="40" s="1"/>
  <c r="I23" i="41"/>
  <c r="I20" i="40" s="1"/>
  <c r="H23" i="41"/>
  <c r="H20" i="40" s="1"/>
  <c r="K23" i="41"/>
  <c r="K20" i="40" s="1"/>
  <c r="C23" i="41"/>
  <c r="G21" i="41"/>
  <c r="G18" i="40" s="1"/>
  <c r="L21" i="41"/>
  <c r="L18" i="40" s="1"/>
  <c r="D21" i="41"/>
  <c r="D18" i="40" s="1"/>
  <c r="N21" i="41"/>
  <c r="N18" i="40" s="1"/>
  <c r="M21" i="41"/>
  <c r="M18" i="40" s="1"/>
  <c r="J21" i="41"/>
  <c r="J18" i="40" s="1"/>
  <c r="H21" i="41"/>
  <c r="H18" i="40" s="1"/>
  <c r="E21" i="41"/>
  <c r="E18" i="40" s="1"/>
  <c r="I21" i="41"/>
  <c r="I18" i="40" s="1"/>
  <c r="F21" i="41"/>
  <c r="F18" i="40" s="1"/>
  <c r="K21" i="41"/>
  <c r="K18" i="40" s="1"/>
  <c r="C21" i="41"/>
  <c r="G16" i="41"/>
  <c r="G13" i="40" s="1"/>
  <c r="D16" i="41"/>
  <c r="D13" i="40" s="1"/>
  <c r="N16" i="41"/>
  <c r="N13" i="40" s="1"/>
  <c r="M16" i="41"/>
  <c r="M13" i="40" s="1"/>
  <c r="L16" i="41"/>
  <c r="L13" i="40" s="1"/>
  <c r="J16" i="41"/>
  <c r="J13" i="40" s="1"/>
  <c r="K16" i="41"/>
  <c r="K13" i="40" s="1"/>
  <c r="E16" i="41"/>
  <c r="E13" i="40" s="1"/>
  <c r="I16" i="41"/>
  <c r="I13" i="40" s="1"/>
  <c r="F16" i="41"/>
  <c r="F13" i="40" s="1"/>
  <c r="H16" i="41"/>
  <c r="H13" i="40" s="1"/>
  <c r="C16" i="41"/>
  <c r="H13" i="5"/>
  <c r="B12" i="48"/>
  <c r="H10" i="5"/>
  <c r="B9" i="48"/>
  <c r="H24" i="5"/>
  <c r="G55" i="5" s="1"/>
  <c r="B23" i="48"/>
  <c r="H26" i="5"/>
  <c r="B25" i="48"/>
  <c r="H15" i="5"/>
  <c r="L15" i="5" s="1"/>
  <c r="B14" i="48"/>
  <c r="L18" i="41"/>
  <c r="L15" i="40" s="1"/>
  <c r="G18" i="41"/>
  <c r="G15" i="40" s="1"/>
  <c r="N18" i="41"/>
  <c r="N15" i="40" s="1"/>
  <c r="D18" i="41"/>
  <c r="D15" i="40" s="1"/>
  <c r="M18" i="41"/>
  <c r="M15" i="40" s="1"/>
  <c r="J18" i="41"/>
  <c r="J15" i="40" s="1"/>
  <c r="I18" i="41"/>
  <c r="I15" i="40" s="1"/>
  <c r="H18" i="41"/>
  <c r="H15" i="40" s="1"/>
  <c r="E18" i="41"/>
  <c r="E15" i="40" s="1"/>
  <c r="F18" i="41"/>
  <c r="F15" i="40" s="1"/>
  <c r="K18" i="41"/>
  <c r="K15" i="40" s="1"/>
  <c r="C18" i="41"/>
  <c r="O13" i="47"/>
  <c r="C17" i="47"/>
  <c r="K17" i="47"/>
  <c r="I17" i="47"/>
  <c r="E17" i="47"/>
  <c r="D17" i="47"/>
  <c r="M17" i="47"/>
  <c r="L17" i="47"/>
  <c r="G17" i="47"/>
  <c r="F17" i="47"/>
  <c r="J17" i="47"/>
  <c r="H17" i="47"/>
  <c r="N17" i="47"/>
  <c r="N11" i="41"/>
  <c r="N8" i="40" s="1"/>
  <c r="D11" i="41"/>
  <c r="D8" i="40" s="1"/>
  <c r="M11" i="41"/>
  <c r="M8" i="40" s="1"/>
  <c r="G11" i="41"/>
  <c r="G8" i="40" s="1"/>
  <c r="J11" i="41"/>
  <c r="J8" i="40" s="1"/>
  <c r="L11" i="41"/>
  <c r="L8" i="40" s="1"/>
  <c r="I11" i="41"/>
  <c r="I8" i="40" s="1"/>
  <c r="H11" i="41"/>
  <c r="H8" i="40" s="1"/>
  <c r="F11" i="41"/>
  <c r="F8" i="40" s="1"/>
  <c r="K11" i="41"/>
  <c r="K8" i="40" s="1"/>
  <c r="E11" i="41"/>
  <c r="E8" i="40" s="1"/>
  <c r="C11" i="41"/>
  <c r="N9" i="41"/>
  <c r="N6" i="40" s="1"/>
  <c r="M9" i="41"/>
  <c r="M6" i="40" s="1"/>
  <c r="J9" i="41"/>
  <c r="J6" i="40" s="1"/>
  <c r="G9" i="41"/>
  <c r="G6" i="40" s="1"/>
  <c r="L9" i="41"/>
  <c r="L6" i="40" s="1"/>
  <c r="D9" i="41"/>
  <c r="D6" i="40" s="1"/>
  <c r="K9" i="41"/>
  <c r="K6" i="40" s="1"/>
  <c r="I9" i="41"/>
  <c r="I6" i="40" s="1"/>
  <c r="E9" i="41"/>
  <c r="E6" i="40" s="1"/>
  <c r="H9" i="41"/>
  <c r="H6" i="40" s="1"/>
  <c r="F9" i="41"/>
  <c r="F6" i="40" s="1"/>
  <c r="C9" i="41"/>
  <c r="N25" i="41"/>
  <c r="N22" i="40" s="1"/>
  <c r="M25" i="41"/>
  <c r="M22" i="40" s="1"/>
  <c r="J25" i="41"/>
  <c r="J22" i="40" s="1"/>
  <c r="G25" i="41"/>
  <c r="G22" i="40" s="1"/>
  <c r="L25" i="41"/>
  <c r="L22" i="40" s="1"/>
  <c r="D25" i="41"/>
  <c r="D22" i="40" s="1"/>
  <c r="K25" i="41"/>
  <c r="K22" i="40" s="1"/>
  <c r="H25" i="41"/>
  <c r="H22" i="40" s="1"/>
  <c r="E25" i="41"/>
  <c r="E22" i="40" s="1"/>
  <c r="I25" i="41"/>
  <c r="I22" i="40" s="1"/>
  <c r="F25" i="41"/>
  <c r="F22" i="40" s="1"/>
  <c r="C25" i="41"/>
  <c r="N14" i="41"/>
  <c r="N11" i="40" s="1"/>
  <c r="D14" i="41"/>
  <c r="D11" i="40" s="1"/>
  <c r="I14" i="41"/>
  <c r="I11" i="40" s="1"/>
  <c r="M14" i="41"/>
  <c r="M11" i="40" s="1"/>
  <c r="J14" i="41"/>
  <c r="J11" i="40" s="1"/>
  <c r="L14" i="41"/>
  <c r="L11" i="40" s="1"/>
  <c r="G14" i="41"/>
  <c r="G11" i="40" s="1"/>
  <c r="H14" i="41"/>
  <c r="H11" i="40" s="1"/>
  <c r="E14" i="41"/>
  <c r="E11" i="40" s="1"/>
  <c r="F14" i="41"/>
  <c r="F11" i="40" s="1"/>
  <c r="K14" i="41"/>
  <c r="K11" i="40" s="1"/>
  <c r="C14" i="41"/>
  <c r="H8" i="5"/>
  <c r="B37" i="48"/>
  <c r="B38" i="48" s="1"/>
  <c r="B7" i="48"/>
  <c r="H22" i="5"/>
  <c r="B21" i="48"/>
  <c r="H25" i="5"/>
  <c r="B24" i="48"/>
  <c r="H23" i="5"/>
  <c r="B22" i="48"/>
  <c r="C9" i="40"/>
  <c r="O9" i="40" s="1"/>
  <c r="O12" i="41"/>
  <c r="C22" i="47"/>
  <c r="L22" i="47"/>
  <c r="I22" i="47"/>
  <c r="N22" i="47"/>
  <c r="G22" i="47"/>
  <c r="E22" i="47"/>
  <c r="H22" i="47"/>
  <c r="J22" i="47"/>
  <c r="K22" i="47"/>
  <c r="M22" i="47"/>
  <c r="D22" i="47"/>
  <c r="F22" i="47"/>
  <c r="O25" i="47"/>
  <c r="M10" i="41"/>
  <c r="M7" i="40" s="1"/>
  <c r="J10" i="41"/>
  <c r="J7" i="40" s="1"/>
  <c r="L10" i="41"/>
  <c r="L7" i="40" s="1"/>
  <c r="G10" i="41"/>
  <c r="G7" i="40" s="1"/>
  <c r="N10" i="41"/>
  <c r="N7" i="40" s="1"/>
  <c r="D10" i="41"/>
  <c r="D7" i="40" s="1"/>
  <c r="I10" i="41"/>
  <c r="I7" i="40" s="1"/>
  <c r="E10" i="41"/>
  <c r="E7" i="40" s="1"/>
  <c r="F10" i="41"/>
  <c r="F7" i="40" s="1"/>
  <c r="K10" i="41"/>
  <c r="K7" i="40" s="1"/>
  <c r="H10" i="41"/>
  <c r="H7" i="40" s="1"/>
  <c r="C10" i="41"/>
  <c r="I15" i="41"/>
  <c r="I12" i="40" s="1"/>
  <c r="N15" i="41"/>
  <c r="N12" i="40" s="1"/>
  <c r="M15" i="41"/>
  <c r="M12" i="40" s="1"/>
  <c r="J15" i="41"/>
  <c r="J12" i="40" s="1"/>
  <c r="L15" i="41"/>
  <c r="L12" i="40" s="1"/>
  <c r="D15" i="41"/>
  <c r="D12" i="40" s="1"/>
  <c r="G15" i="41"/>
  <c r="G12" i="40" s="1"/>
  <c r="F15" i="41"/>
  <c r="F12" i="40" s="1"/>
  <c r="E15" i="41"/>
  <c r="E12" i="40" s="1"/>
  <c r="H15" i="41"/>
  <c r="H12" i="40" s="1"/>
  <c r="K15" i="41"/>
  <c r="K12" i="40" s="1"/>
  <c r="C15" i="41"/>
  <c r="N13" i="41"/>
  <c r="N10" i="40" s="1"/>
  <c r="M13" i="41"/>
  <c r="M10" i="40" s="1"/>
  <c r="J13" i="41"/>
  <c r="J10" i="40" s="1"/>
  <c r="G13" i="41"/>
  <c r="G10" i="40" s="1"/>
  <c r="L13" i="41"/>
  <c r="L10" i="40" s="1"/>
  <c r="D13" i="41"/>
  <c r="D10" i="40" s="1"/>
  <c r="I13" i="41"/>
  <c r="I10" i="40" s="1"/>
  <c r="H13" i="41"/>
  <c r="H10" i="40" s="1"/>
  <c r="F13" i="41"/>
  <c r="F10" i="40" s="1"/>
  <c r="K13" i="41"/>
  <c r="K10" i="40" s="1"/>
  <c r="E13" i="41"/>
  <c r="E10" i="40" s="1"/>
  <c r="C13" i="41"/>
  <c r="N8" i="41"/>
  <c r="N5" i="40" s="1"/>
  <c r="M8" i="41"/>
  <c r="M5" i="40" s="1"/>
  <c r="L8" i="41"/>
  <c r="L5" i="40" s="1"/>
  <c r="D8" i="41"/>
  <c r="D5" i="40" s="1"/>
  <c r="J8" i="41"/>
  <c r="J5" i="40" s="1"/>
  <c r="G8" i="41"/>
  <c r="G5" i="40" s="1"/>
  <c r="K8" i="41"/>
  <c r="K5" i="40" s="1"/>
  <c r="I8" i="41"/>
  <c r="I5" i="40" s="1"/>
  <c r="E8" i="41"/>
  <c r="E5" i="40" s="1"/>
  <c r="F8" i="41"/>
  <c r="F5" i="40" s="1"/>
  <c r="H8" i="41"/>
  <c r="H5" i="40" s="1"/>
  <c r="C8" i="41"/>
  <c r="M26" i="41"/>
  <c r="M23" i="40" s="1"/>
  <c r="J26" i="41"/>
  <c r="J23" i="40" s="1"/>
  <c r="L26" i="41"/>
  <c r="L23" i="40" s="1"/>
  <c r="G26" i="41"/>
  <c r="G23" i="40" s="1"/>
  <c r="N26" i="41"/>
  <c r="N23" i="40" s="1"/>
  <c r="D26" i="41"/>
  <c r="D23" i="40" s="1"/>
  <c r="I26" i="41"/>
  <c r="I23" i="40" s="1"/>
  <c r="F26" i="41"/>
  <c r="F23" i="40" s="1"/>
  <c r="K26" i="41"/>
  <c r="K23" i="40" s="1"/>
  <c r="H26" i="41"/>
  <c r="H23" i="40" s="1"/>
  <c r="E26" i="41"/>
  <c r="E23" i="40" s="1"/>
  <c r="C26" i="41"/>
  <c r="H21" i="5"/>
  <c r="B20" i="48"/>
  <c r="H11" i="5"/>
  <c r="G42" i="5" s="1"/>
  <c r="B10" i="48"/>
  <c r="H14" i="5"/>
  <c r="B13" i="48"/>
  <c r="H20" i="5"/>
  <c r="L20" i="5" s="1"/>
  <c r="B19" i="48"/>
  <c r="H19" i="5"/>
  <c r="B18" i="48"/>
  <c r="H17" i="5"/>
  <c r="G48" i="5" s="1"/>
  <c r="B16" i="48"/>
  <c r="B8" i="48"/>
  <c r="M20" i="41"/>
  <c r="M17" i="40" s="1"/>
  <c r="D20" i="41"/>
  <c r="D17" i="40" s="1"/>
  <c r="G20" i="41"/>
  <c r="G17" i="40" s="1"/>
  <c r="L20" i="41"/>
  <c r="L17" i="40" s="1"/>
  <c r="J20" i="41"/>
  <c r="J17" i="40" s="1"/>
  <c r="N20" i="41"/>
  <c r="N17" i="40" s="1"/>
  <c r="I20" i="41"/>
  <c r="I17" i="40" s="1"/>
  <c r="F20" i="41"/>
  <c r="F17" i="40" s="1"/>
  <c r="H20" i="41"/>
  <c r="H17" i="40" s="1"/>
  <c r="K20" i="41"/>
  <c r="K17" i="40" s="1"/>
  <c r="E20" i="41"/>
  <c r="E17" i="40" s="1"/>
  <c r="C20" i="41"/>
  <c r="L19" i="41"/>
  <c r="L16" i="40" s="1"/>
  <c r="N19" i="41"/>
  <c r="N16" i="40" s="1"/>
  <c r="M19" i="41"/>
  <c r="M16" i="40" s="1"/>
  <c r="D19" i="41"/>
  <c r="D16" i="40" s="1"/>
  <c r="G19" i="41"/>
  <c r="G16" i="40" s="1"/>
  <c r="J19" i="41"/>
  <c r="J16" i="40" s="1"/>
  <c r="K19" i="41"/>
  <c r="K16" i="40" s="1"/>
  <c r="F19" i="41"/>
  <c r="F16" i="40" s="1"/>
  <c r="E19" i="41"/>
  <c r="E16" i="40" s="1"/>
  <c r="I19" i="41"/>
  <c r="I16" i="40" s="1"/>
  <c r="H19" i="41"/>
  <c r="H16" i="40" s="1"/>
  <c r="C19" i="41"/>
  <c r="L17" i="41"/>
  <c r="L14" i="40" s="1"/>
  <c r="D17" i="41"/>
  <c r="D14" i="40" s="1"/>
  <c r="I17" i="41"/>
  <c r="I14" i="40" s="1"/>
  <c r="N17" i="41"/>
  <c r="N14" i="40" s="1"/>
  <c r="M17" i="41"/>
  <c r="M14" i="40" s="1"/>
  <c r="J17" i="41"/>
  <c r="J14" i="40" s="1"/>
  <c r="G17" i="41"/>
  <c r="G14" i="40" s="1"/>
  <c r="H17" i="41"/>
  <c r="H14" i="40" s="1"/>
  <c r="E17" i="41"/>
  <c r="E14" i="40" s="1"/>
  <c r="F17" i="41"/>
  <c r="F14" i="40" s="1"/>
  <c r="K17" i="41"/>
  <c r="K14" i="40" s="1"/>
  <c r="C17" i="41"/>
  <c r="J22" i="41"/>
  <c r="J19" i="40" s="1"/>
  <c r="L22" i="41"/>
  <c r="L19" i="40" s="1"/>
  <c r="G22" i="41"/>
  <c r="G19" i="40" s="1"/>
  <c r="N22" i="41"/>
  <c r="N19" i="40" s="1"/>
  <c r="D22" i="41"/>
  <c r="D19" i="40" s="1"/>
  <c r="M22" i="41"/>
  <c r="M19" i="40" s="1"/>
  <c r="K22" i="41"/>
  <c r="K19" i="40" s="1"/>
  <c r="I22" i="41"/>
  <c r="I19" i="40" s="1"/>
  <c r="H22" i="41"/>
  <c r="H19" i="40" s="1"/>
  <c r="E22" i="41"/>
  <c r="E19" i="40" s="1"/>
  <c r="F22" i="41"/>
  <c r="F19" i="40" s="1"/>
  <c r="C22" i="41"/>
  <c r="L11" i="48"/>
  <c r="H11" i="48"/>
  <c r="E11" i="48"/>
  <c r="K11" i="48"/>
  <c r="C11" i="48"/>
  <c r="F11" i="48"/>
  <c r="M11" i="48"/>
  <c r="J11" i="48"/>
  <c r="G11" i="48"/>
  <c r="N11" i="48"/>
  <c r="I11" i="48"/>
  <c r="D11" i="48"/>
  <c r="H16" i="5"/>
  <c r="G47" i="5" s="1"/>
  <c r="B15" i="48"/>
  <c r="H27" i="5"/>
  <c r="B26" i="48"/>
  <c r="H18" i="5"/>
  <c r="L18" i="5" s="1"/>
  <c r="B17" i="48"/>
  <c r="G24" i="41"/>
  <c r="G21" i="40" s="1"/>
  <c r="M24" i="41"/>
  <c r="M21" i="40" s="1"/>
  <c r="L24" i="41"/>
  <c r="L21" i="40" s="1"/>
  <c r="D24" i="41"/>
  <c r="D21" i="40" s="1"/>
  <c r="N24" i="41"/>
  <c r="N21" i="40" s="1"/>
  <c r="J24" i="41"/>
  <c r="J21" i="40" s="1"/>
  <c r="H24" i="41"/>
  <c r="H21" i="40" s="1"/>
  <c r="K24" i="41"/>
  <c r="K21" i="40" s="1"/>
  <c r="I24" i="41"/>
  <c r="I21" i="40" s="1"/>
  <c r="E24" i="41"/>
  <c r="E21" i="40" s="1"/>
  <c r="F24" i="41"/>
  <c r="F21" i="40" s="1"/>
  <c r="C24" i="41"/>
  <c r="C12" i="47"/>
  <c r="M12" i="47"/>
  <c r="K12" i="47"/>
  <c r="G12" i="47"/>
  <c r="F12" i="47"/>
  <c r="L12" i="47"/>
  <c r="E12" i="47"/>
  <c r="D12" i="47"/>
  <c r="J12" i="47"/>
  <c r="N12" i="47"/>
  <c r="B27" i="47"/>
  <c r="H12" i="47"/>
  <c r="I12" i="47"/>
  <c r="F23" i="4"/>
  <c r="G23" i="4" s="1"/>
  <c r="F23" i="22"/>
  <c r="F21" i="4"/>
  <c r="F11" i="4"/>
  <c r="C23" i="13"/>
  <c r="D23" i="13" s="1"/>
  <c r="F21" i="22"/>
  <c r="C21" i="14"/>
  <c r="D21" i="14" s="1"/>
  <c r="F25" i="4"/>
  <c r="C25" i="14"/>
  <c r="D25" i="14" s="1"/>
  <c r="F13" i="22"/>
  <c r="G13" i="22"/>
  <c r="F27" i="22"/>
  <c r="G27" i="22"/>
  <c r="F19" i="22"/>
  <c r="G19" i="22"/>
  <c r="F24" i="22"/>
  <c r="G24" i="22"/>
  <c r="F12" i="22"/>
  <c r="G12" i="22"/>
  <c r="F15" i="22"/>
  <c r="G15" i="22"/>
  <c r="F9" i="22"/>
  <c r="G9" i="22"/>
  <c r="F26" i="22"/>
  <c r="G26" i="22"/>
  <c r="F11" i="22"/>
  <c r="G11" i="22"/>
  <c r="F8" i="22"/>
  <c r="G8" i="22"/>
  <c r="E28" i="22"/>
  <c r="F20" i="22"/>
  <c r="G20" i="22"/>
  <c r="F17" i="22"/>
  <c r="G17" i="22"/>
  <c r="C11" i="13"/>
  <c r="D11" i="13" s="1"/>
  <c r="F25" i="22"/>
  <c r="G25" i="22"/>
  <c r="F18" i="22"/>
  <c r="G18" i="22"/>
  <c r="F16" i="22"/>
  <c r="G16" i="22"/>
  <c r="F22" i="22"/>
  <c r="G22" i="22"/>
  <c r="F14" i="22"/>
  <c r="G14" i="22"/>
  <c r="C11" i="14"/>
  <c r="D11" i="14" s="1"/>
  <c r="C25" i="13"/>
  <c r="D25" i="13" s="1"/>
  <c r="L14" i="5"/>
  <c r="AD21" i="3"/>
  <c r="G20" i="7"/>
  <c r="H20" i="7" s="1"/>
  <c r="AE21" i="3" s="1"/>
  <c r="AD19" i="3"/>
  <c r="G18" i="7"/>
  <c r="H18" i="7" s="1"/>
  <c r="AE19" i="3" s="1"/>
  <c r="AD9" i="3"/>
  <c r="G8" i="7"/>
  <c r="AD25" i="3"/>
  <c r="G24" i="7"/>
  <c r="H24" i="7" s="1"/>
  <c r="AE25" i="3" s="1"/>
  <c r="AD23" i="3"/>
  <c r="G22" i="7"/>
  <c r="H22" i="7" s="1"/>
  <c r="AE23" i="3" s="1"/>
  <c r="AD18" i="3"/>
  <c r="G17" i="7"/>
  <c r="H17" i="7" s="1"/>
  <c r="AE18" i="3" s="1"/>
  <c r="AD20" i="3"/>
  <c r="G19" i="7"/>
  <c r="H19" i="7" s="1"/>
  <c r="AE20" i="3" s="1"/>
  <c r="AD13" i="3"/>
  <c r="G12" i="7"/>
  <c r="H12" i="7" s="1"/>
  <c r="AE13" i="3" s="1"/>
  <c r="AD11" i="3"/>
  <c r="G10" i="7"/>
  <c r="H10" i="7" s="1"/>
  <c r="AE11" i="3" s="1"/>
  <c r="AD27" i="3"/>
  <c r="G26" i="7"/>
  <c r="H26" i="7" s="1"/>
  <c r="AE27" i="3" s="1"/>
  <c r="AD16" i="3"/>
  <c r="G15" i="7"/>
  <c r="H15" i="7" s="1"/>
  <c r="AE16" i="3" s="1"/>
  <c r="AD12" i="3"/>
  <c r="G11" i="7"/>
  <c r="H11" i="7" s="1"/>
  <c r="AE12" i="3" s="1"/>
  <c r="AD17" i="3"/>
  <c r="G16" i="7"/>
  <c r="H16" i="7" s="1"/>
  <c r="AE17" i="3" s="1"/>
  <c r="AD15" i="3"/>
  <c r="G14" i="7"/>
  <c r="H14" i="7" s="1"/>
  <c r="AE15" i="3" s="1"/>
  <c r="AD10" i="3"/>
  <c r="G9" i="7"/>
  <c r="H9" i="7" s="1"/>
  <c r="AE10" i="3" s="1"/>
  <c r="AD28" i="3"/>
  <c r="G27" i="7"/>
  <c r="H27" i="7" s="1"/>
  <c r="AE28" i="3" s="1"/>
  <c r="AD22" i="3"/>
  <c r="G21" i="7"/>
  <c r="H21" i="7" s="1"/>
  <c r="AE22" i="3" s="1"/>
  <c r="AD24" i="3"/>
  <c r="G23" i="7"/>
  <c r="H23" i="7" s="1"/>
  <c r="AE24" i="3" s="1"/>
  <c r="AD26" i="3"/>
  <c r="G25" i="7"/>
  <c r="H25" i="7" s="1"/>
  <c r="AE26" i="3" s="1"/>
  <c r="F13" i="4"/>
  <c r="C13" i="14"/>
  <c r="D13" i="14" s="1"/>
  <c r="C13" i="13"/>
  <c r="D13" i="13" s="1"/>
  <c r="F8" i="4"/>
  <c r="C8" i="14"/>
  <c r="D8" i="14" s="1"/>
  <c r="C8" i="13"/>
  <c r="F22" i="4"/>
  <c r="C22" i="14"/>
  <c r="D22" i="14" s="1"/>
  <c r="C22" i="13"/>
  <c r="D22" i="13" s="1"/>
  <c r="F14" i="4"/>
  <c r="C14" i="14"/>
  <c r="D14" i="14" s="1"/>
  <c r="C14" i="13"/>
  <c r="D14" i="13" s="1"/>
  <c r="G21" i="4"/>
  <c r="F20" i="4"/>
  <c r="C20" i="14"/>
  <c r="D20" i="14" s="1"/>
  <c r="C20" i="13"/>
  <c r="D20" i="13" s="1"/>
  <c r="F18" i="4"/>
  <c r="C18" i="14"/>
  <c r="D18" i="14" s="1"/>
  <c r="C18" i="13"/>
  <c r="D18" i="13" s="1"/>
  <c r="F16" i="4"/>
  <c r="C16" i="14"/>
  <c r="D16" i="14" s="1"/>
  <c r="C16" i="13"/>
  <c r="D16" i="13" s="1"/>
  <c r="F24" i="4"/>
  <c r="C24" i="14"/>
  <c r="D24" i="14" s="1"/>
  <c r="C24" i="13"/>
  <c r="D24" i="13" s="1"/>
  <c r="F12" i="4"/>
  <c r="C12" i="14"/>
  <c r="D12" i="14" s="1"/>
  <c r="C12" i="13"/>
  <c r="D12" i="13" s="1"/>
  <c r="G11" i="4"/>
  <c r="F9" i="4"/>
  <c r="C9" i="14"/>
  <c r="D9" i="14" s="1"/>
  <c r="C9" i="13"/>
  <c r="D9" i="13" s="1"/>
  <c r="F17" i="4"/>
  <c r="C17" i="14"/>
  <c r="D17" i="14" s="1"/>
  <c r="C17" i="13"/>
  <c r="D17" i="13" s="1"/>
  <c r="F15" i="4"/>
  <c r="C15" i="14"/>
  <c r="D15" i="14" s="1"/>
  <c r="C15" i="13"/>
  <c r="D15" i="13" s="1"/>
  <c r="F27" i="4"/>
  <c r="C27" i="14"/>
  <c r="D27" i="14" s="1"/>
  <c r="C27" i="13"/>
  <c r="D27" i="13" s="1"/>
  <c r="F19" i="4"/>
  <c r="C19" i="14"/>
  <c r="D19" i="14" s="1"/>
  <c r="C19" i="13"/>
  <c r="D19" i="13" s="1"/>
  <c r="F26" i="4"/>
  <c r="C26" i="14"/>
  <c r="D26" i="14" s="1"/>
  <c r="C26" i="13"/>
  <c r="D26" i="13" s="1"/>
  <c r="G10" i="4"/>
  <c r="G25" i="4"/>
  <c r="R12" i="5"/>
  <c r="S12" i="5" s="1"/>
  <c r="U13" i="3" s="1"/>
  <c r="H12" i="5"/>
  <c r="R25" i="5"/>
  <c r="S25" i="5" s="1"/>
  <c r="U26" i="3" s="1"/>
  <c r="K25" i="5"/>
  <c r="V28" i="5"/>
  <c r="X28" i="5"/>
  <c r="AG24" i="5"/>
  <c r="AH24" i="5" s="1"/>
  <c r="AG22" i="5"/>
  <c r="AH22" i="5" s="1"/>
  <c r="R23" i="5"/>
  <c r="S23" i="5" s="1"/>
  <c r="U24" i="3" s="1"/>
  <c r="AG15" i="5"/>
  <c r="AH15" i="5" s="1"/>
  <c r="R24" i="5"/>
  <c r="S24" i="5" s="1"/>
  <c r="U25" i="3" s="1"/>
  <c r="J28" i="4"/>
  <c r="K20" i="4" s="1"/>
  <c r="F22" i="8"/>
  <c r="H22" i="8" s="1"/>
  <c r="F21" i="8"/>
  <c r="H21" i="8" s="1"/>
  <c r="F17" i="8"/>
  <c r="H17" i="8" s="1"/>
  <c r="F26" i="8"/>
  <c r="H26" i="8" s="1"/>
  <c r="F19" i="8"/>
  <c r="H19" i="8" s="1"/>
  <c r="F15" i="8"/>
  <c r="H15" i="8" s="1"/>
  <c r="F23" i="8"/>
  <c r="H23" i="8" s="1"/>
  <c r="F24" i="8"/>
  <c r="H24" i="8" s="1"/>
  <c r="F16" i="8"/>
  <c r="H16" i="8" s="1"/>
  <c r="F10" i="8"/>
  <c r="H10" i="8" s="1"/>
  <c r="F12" i="8"/>
  <c r="H12" i="8" s="1"/>
  <c r="F20" i="8"/>
  <c r="H20" i="8" s="1"/>
  <c r="F27" i="8"/>
  <c r="H27" i="8" s="1"/>
  <c r="F9" i="8"/>
  <c r="H9" i="8" s="1"/>
  <c r="F14" i="8"/>
  <c r="H14" i="8" s="1"/>
  <c r="F8" i="8"/>
  <c r="H8" i="8" s="1"/>
  <c r="F25" i="8"/>
  <c r="H25" i="8" s="1"/>
  <c r="F13" i="8"/>
  <c r="H13" i="8" s="1"/>
  <c r="F18" i="8"/>
  <c r="H18" i="8" s="1"/>
  <c r="R16" i="5"/>
  <c r="S16" i="5" s="1"/>
  <c r="U17" i="3" s="1"/>
  <c r="G45" i="5"/>
  <c r="H45" i="5" s="1"/>
  <c r="R15" i="5"/>
  <c r="S15" i="5" s="1"/>
  <c r="U16" i="3" s="1"/>
  <c r="AG28" i="5"/>
  <c r="AH28" i="5" s="1"/>
  <c r="AG14" i="5"/>
  <c r="AH14" i="5" s="1"/>
  <c r="R14" i="5"/>
  <c r="S14" i="5" s="1"/>
  <c r="U15" i="3" s="1"/>
  <c r="AG11" i="5"/>
  <c r="AH11" i="5" s="1"/>
  <c r="AG25" i="5"/>
  <c r="AH25" i="5" s="1"/>
  <c r="AG12" i="5"/>
  <c r="AH12" i="5" s="1"/>
  <c r="E28" i="4"/>
  <c r="AG16" i="5"/>
  <c r="AH16" i="5" s="1"/>
  <c r="R20" i="5"/>
  <c r="S20" i="5" s="1"/>
  <c r="U21" i="3" s="1"/>
  <c r="R26" i="5"/>
  <c r="S26" i="5" s="1"/>
  <c r="U27" i="3" s="1"/>
  <c r="R11" i="5"/>
  <c r="S11" i="5" s="1"/>
  <c r="U12" i="3" s="1"/>
  <c r="AG26" i="5"/>
  <c r="AH26" i="5" s="1"/>
  <c r="AG10" i="5"/>
  <c r="AH10" i="5" s="1"/>
  <c r="AG23" i="5"/>
  <c r="AH23" i="5" s="1"/>
  <c r="AG20" i="5"/>
  <c r="AH20" i="5" s="1"/>
  <c r="R21" i="5"/>
  <c r="S21" i="5" s="1"/>
  <c r="U22" i="3" s="1"/>
  <c r="F28" i="7"/>
  <c r="L22" i="5"/>
  <c r="G53" i="5"/>
  <c r="R9" i="5"/>
  <c r="S9" i="5" s="1"/>
  <c r="U10" i="3" s="1"/>
  <c r="AG9" i="5"/>
  <c r="AH9" i="5" s="1"/>
  <c r="AG17" i="5"/>
  <c r="AH17" i="5" s="1"/>
  <c r="AG8" i="5"/>
  <c r="AH8" i="5" s="1"/>
  <c r="R19" i="5"/>
  <c r="S19" i="5" s="1"/>
  <c r="U20" i="3" s="1"/>
  <c r="R27" i="5"/>
  <c r="S27" i="5" s="1"/>
  <c r="U28" i="3" s="1"/>
  <c r="R18" i="5"/>
  <c r="S18" i="5" s="1"/>
  <c r="U19" i="3" s="1"/>
  <c r="AG13" i="5"/>
  <c r="AH13" i="5" s="1"/>
  <c r="R13" i="5"/>
  <c r="S13" i="5" s="1"/>
  <c r="U14" i="3" s="1"/>
  <c r="R17" i="5"/>
  <c r="S17" i="5" s="1"/>
  <c r="U18" i="3" s="1"/>
  <c r="G50" i="5"/>
  <c r="L19" i="5"/>
  <c r="R22" i="5"/>
  <c r="S22" i="5" s="1"/>
  <c r="U23" i="3" s="1"/>
  <c r="G46" i="5"/>
  <c r="G52" i="5"/>
  <c r="L21" i="5"/>
  <c r="G39" i="5"/>
  <c r="L8" i="5"/>
  <c r="AG19" i="5"/>
  <c r="AH19" i="5" s="1"/>
  <c r="G41" i="5"/>
  <c r="L10" i="5"/>
  <c r="L27" i="5"/>
  <c r="G58" i="5"/>
  <c r="L26" i="5"/>
  <c r="G57" i="5"/>
  <c r="G54" i="5"/>
  <c r="L23" i="5"/>
  <c r="AG21" i="5"/>
  <c r="AH21" i="5" s="1"/>
  <c r="R8" i="5"/>
  <c r="AG27" i="5"/>
  <c r="AH27" i="5" s="1"/>
  <c r="AG18" i="5"/>
  <c r="AH18" i="5" s="1"/>
  <c r="R10" i="5"/>
  <c r="S10" i="5" s="1"/>
  <c r="U11" i="3" s="1"/>
  <c r="G49" i="5" l="1"/>
  <c r="L16" i="5"/>
  <c r="K9" i="65"/>
  <c r="J26" i="65"/>
  <c r="K26" i="65" s="1"/>
  <c r="J28" i="65"/>
  <c r="K28" i="65" s="1"/>
  <c r="J20" i="65"/>
  <c r="K20" i="65" s="1"/>
  <c r="J12" i="65"/>
  <c r="K12" i="65" s="1"/>
  <c r="J23" i="65"/>
  <c r="K23" i="65" s="1"/>
  <c r="J15" i="65"/>
  <c r="K15" i="65" s="1"/>
  <c r="J22" i="65"/>
  <c r="K22" i="65" s="1"/>
  <c r="J14" i="65"/>
  <c r="K14" i="65" s="1"/>
  <c r="J25" i="65"/>
  <c r="K25" i="65" s="1"/>
  <c r="J17" i="65"/>
  <c r="K17" i="65" s="1"/>
  <c r="J24" i="65"/>
  <c r="K24" i="65" s="1"/>
  <c r="J16" i="65"/>
  <c r="K16" i="65" s="1"/>
  <c r="J27" i="65"/>
  <c r="K27" i="65" s="1"/>
  <c r="J19" i="65"/>
  <c r="K19" i="65" s="1"/>
  <c r="J11" i="65"/>
  <c r="K11" i="65" s="1"/>
  <c r="J18" i="65"/>
  <c r="K18" i="65" s="1"/>
  <c r="J10" i="65"/>
  <c r="K10" i="65" s="1"/>
  <c r="J21" i="65"/>
  <c r="K21" i="65" s="1"/>
  <c r="J13" i="65"/>
  <c r="K13" i="65" s="1"/>
  <c r="L24" i="5"/>
  <c r="G56" i="5"/>
  <c r="H56" i="5" s="1"/>
  <c r="G51" i="5"/>
  <c r="H51" i="5" s="1"/>
  <c r="L17" i="5"/>
  <c r="L11" i="5"/>
  <c r="Z25" i="5"/>
  <c r="K28" i="5"/>
  <c r="O19" i="5" s="1"/>
  <c r="I27" i="47"/>
  <c r="J27" i="47"/>
  <c r="F27" i="47"/>
  <c r="C27" i="47"/>
  <c r="O12" i="47"/>
  <c r="I8" i="46"/>
  <c r="I8" i="57"/>
  <c r="M8" i="57"/>
  <c r="M8" i="46"/>
  <c r="E8" i="57"/>
  <c r="E8" i="46"/>
  <c r="H18" i="48"/>
  <c r="L18" i="48"/>
  <c r="M18" i="48"/>
  <c r="J18" i="48"/>
  <c r="K18" i="48"/>
  <c r="F18" i="48"/>
  <c r="C18" i="48"/>
  <c r="E18" i="48"/>
  <c r="D18" i="48"/>
  <c r="G18" i="48"/>
  <c r="N18" i="48"/>
  <c r="I18" i="48"/>
  <c r="H13" i="48"/>
  <c r="L13" i="48"/>
  <c r="K13" i="48"/>
  <c r="C13" i="48"/>
  <c r="E13" i="48"/>
  <c r="G13" i="48"/>
  <c r="M13" i="48"/>
  <c r="J13" i="48"/>
  <c r="D13" i="48"/>
  <c r="F13" i="48"/>
  <c r="N13" i="48"/>
  <c r="I13" i="48"/>
  <c r="L20" i="48"/>
  <c r="H20" i="48"/>
  <c r="K20" i="48"/>
  <c r="F20" i="48"/>
  <c r="C20" i="48"/>
  <c r="E20" i="48"/>
  <c r="M20" i="48"/>
  <c r="J20" i="48"/>
  <c r="N20" i="48"/>
  <c r="G20" i="48"/>
  <c r="D20" i="48"/>
  <c r="I20" i="48"/>
  <c r="H24" i="48"/>
  <c r="L24" i="48"/>
  <c r="C24" i="48"/>
  <c r="G24" i="48"/>
  <c r="E24" i="48"/>
  <c r="M24" i="48"/>
  <c r="J24" i="48"/>
  <c r="K24" i="48"/>
  <c r="F24" i="48"/>
  <c r="I24" i="48"/>
  <c r="N24" i="48"/>
  <c r="D24" i="48"/>
  <c r="B27" i="48"/>
  <c r="H7" i="48"/>
  <c r="L7" i="48"/>
  <c r="K7" i="48"/>
  <c r="M7" i="48"/>
  <c r="E7" i="48"/>
  <c r="J7" i="48"/>
  <c r="C7" i="48"/>
  <c r="G7" i="48"/>
  <c r="F7" i="48"/>
  <c r="D7" i="48"/>
  <c r="N7" i="48"/>
  <c r="I7" i="48"/>
  <c r="C4" i="40"/>
  <c r="O7" i="41"/>
  <c r="E4" i="40"/>
  <c r="E24" i="40" s="1"/>
  <c r="M4" i="40"/>
  <c r="M24" i="40" s="1"/>
  <c r="H27" i="47"/>
  <c r="D27" i="47"/>
  <c r="G27" i="47"/>
  <c r="C21" i="40"/>
  <c r="O21" i="40" s="1"/>
  <c r="O24" i="41"/>
  <c r="L17" i="48"/>
  <c r="L14" i="46" s="1"/>
  <c r="H17" i="48"/>
  <c r="H14" i="46" s="1"/>
  <c r="F17" i="48"/>
  <c r="F14" i="57" s="1"/>
  <c r="C17" i="48"/>
  <c r="C14" i="46" s="1"/>
  <c r="E17" i="48"/>
  <c r="E14" i="57" s="1"/>
  <c r="M17" i="48"/>
  <c r="M14" i="57" s="1"/>
  <c r="J17" i="48"/>
  <c r="J14" i="57" s="1"/>
  <c r="G17" i="48"/>
  <c r="G14" i="57" s="1"/>
  <c r="K17" i="48"/>
  <c r="K14" i="57" s="1"/>
  <c r="N17" i="48"/>
  <c r="N14" i="57" s="1"/>
  <c r="I17" i="48"/>
  <c r="I14" i="46" s="1"/>
  <c r="D17" i="48"/>
  <c r="D14" i="46" s="1"/>
  <c r="L15" i="48"/>
  <c r="H15" i="48"/>
  <c r="M15" i="48"/>
  <c r="J15" i="48"/>
  <c r="K15" i="48"/>
  <c r="E15" i="48"/>
  <c r="C15" i="48"/>
  <c r="G15" i="48"/>
  <c r="F15" i="48"/>
  <c r="D15" i="48"/>
  <c r="I15" i="48"/>
  <c r="N15" i="48"/>
  <c r="N8" i="46"/>
  <c r="N8" i="57"/>
  <c r="F8" i="57"/>
  <c r="F8" i="46"/>
  <c r="H8" i="46"/>
  <c r="H8" i="57"/>
  <c r="C15" i="40"/>
  <c r="O15" i="40" s="1"/>
  <c r="O18" i="41"/>
  <c r="L14" i="48"/>
  <c r="H14" i="48"/>
  <c r="J14" i="48"/>
  <c r="K14" i="48"/>
  <c r="C14" i="48"/>
  <c r="G14" i="48"/>
  <c r="F14" i="48"/>
  <c r="E14" i="48"/>
  <c r="M14" i="48"/>
  <c r="N14" i="48"/>
  <c r="D14" i="48"/>
  <c r="I14" i="48"/>
  <c r="L23" i="48"/>
  <c r="K23" i="48"/>
  <c r="M23" i="48"/>
  <c r="C23" i="48"/>
  <c r="H23" i="48"/>
  <c r="E23" i="48"/>
  <c r="J23" i="48"/>
  <c r="G23" i="48"/>
  <c r="F23" i="48"/>
  <c r="D23" i="48"/>
  <c r="I23" i="48"/>
  <c r="N23" i="48"/>
  <c r="L12" i="48"/>
  <c r="L9" i="46" s="1"/>
  <c r="E12" i="48"/>
  <c r="E9" i="57" s="1"/>
  <c r="M12" i="48"/>
  <c r="M9" i="46" s="1"/>
  <c r="J12" i="48"/>
  <c r="J9" i="57" s="1"/>
  <c r="H12" i="48"/>
  <c r="H9" i="46" s="1"/>
  <c r="K12" i="48"/>
  <c r="K9" i="57" s="1"/>
  <c r="C12" i="48"/>
  <c r="G12" i="48"/>
  <c r="G9" i="46" s="1"/>
  <c r="D12" i="48"/>
  <c r="D9" i="57" s="1"/>
  <c r="F12" i="48"/>
  <c r="F9" i="57" s="1"/>
  <c r="N12" i="48"/>
  <c r="N9" i="46" s="1"/>
  <c r="I12" i="48"/>
  <c r="I9" i="57" s="1"/>
  <c r="F4" i="40"/>
  <c r="F24" i="40" s="1"/>
  <c r="H4" i="40"/>
  <c r="H24" i="40" s="1"/>
  <c r="N4" i="40"/>
  <c r="N24" i="40" s="1"/>
  <c r="E27" i="47"/>
  <c r="K27" i="47"/>
  <c r="G8" i="57"/>
  <c r="G8" i="46"/>
  <c r="C8" i="57"/>
  <c r="C8" i="46"/>
  <c r="O11" i="48"/>
  <c r="L8" i="46"/>
  <c r="L8" i="57"/>
  <c r="L16" i="48"/>
  <c r="M16" i="48"/>
  <c r="H16" i="48"/>
  <c r="K16" i="48"/>
  <c r="C16" i="48"/>
  <c r="G16" i="48"/>
  <c r="E16" i="48"/>
  <c r="J16" i="48"/>
  <c r="F16" i="48"/>
  <c r="I16" i="48"/>
  <c r="D16" i="48"/>
  <c r="N16" i="48"/>
  <c r="H19" i="48"/>
  <c r="L19" i="48"/>
  <c r="J19" i="48"/>
  <c r="M19" i="48"/>
  <c r="K19" i="48"/>
  <c r="E19" i="48"/>
  <c r="C19" i="48"/>
  <c r="G19" i="48"/>
  <c r="F19" i="48"/>
  <c r="N19" i="48"/>
  <c r="I19" i="48"/>
  <c r="D19" i="48"/>
  <c r="H10" i="48"/>
  <c r="L10" i="48"/>
  <c r="M10" i="48"/>
  <c r="E10" i="48"/>
  <c r="J10" i="48"/>
  <c r="K10" i="48"/>
  <c r="C10" i="48"/>
  <c r="G10" i="48"/>
  <c r="F10" i="48"/>
  <c r="D10" i="48"/>
  <c r="I10" i="48"/>
  <c r="N10" i="48"/>
  <c r="C23" i="40"/>
  <c r="O23" i="40" s="1"/>
  <c r="O26" i="41"/>
  <c r="C5" i="40"/>
  <c r="O5" i="40" s="1"/>
  <c r="O8" i="41"/>
  <c r="C10" i="40"/>
  <c r="O10" i="40" s="1"/>
  <c r="O13" i="41"/>
  <c r="C12" i="40"/>
  <c r="O12" i="40" s="1"/>
  <c r="O15" i="41"/>
  <c r="C7" i="40"/>
  <c r="O7" i="40" s="1"/>
  <c r="O10" i="41"/>
  <c r="O22" i="47"/>
  <c r="L22" i="48"/>
  <c r="L19" i="57" s="1"/>
  <c r="H22" i="48"/>
  <c r="H19" i="46" s="1"/>
  <c r="E22" i="48"/>
  <c r="E19" i="57" s="1"/>
  <c r="C22" i="48"/>
  <c r="G22" i="48"/>
  <c r="G19" i="57" s="1"/>
  <c r="F22" i="48"/>
  <c r="F19" i="57" s="1"/>
  <c r="M22" i="48"/>
  <c r="M19" i="46" s="1"/>
  <c r="J22" i="48"/>
  <c r="J19" i="57" s="1"/>
  <c r="K22" i="48"/>
  <c r="K19" i="57" s="1"/>
  <c r="D22" i="48"/>
  <c r="D19" i="57" s="1"/>
  <c r="I22" i="48"/>
  <c r="I19" i="46" s="1"/>
  <c r="N22" i="48"/>
  <c r="N19" i="46" s="1"/>
  <c r="H21" i="48"/>
  <c r="L21" i="48"/>
  <c r="G21" i="48"/>
  <c r="J21" i="48"/>
  <c r="E21" i="48"/>
  <c r="C21" i="48"/>
  <c r="M21" i="48"/>
  <c r="K21" i="48"/>
  <c r="F21" i="48"/>
  <c r="N21" i="48"/>
  <c r="I21" i="48"/>
  <c r="D21" i="48"/>
  <c r="I4" i="40"/>
  <c r="I24" i="40" s="1"/>
  <c r="G4" i="40"/>
  <c r="G24" i="40" s="1"/>
  <c r="L4" i="40"/>
  <c r="L24" i="40" s="1"/>
  <c r="N27" i="47"/>
  <c r="L27" i="47"/>
  <c r="M27" i="47"/>
  <c r="L26" i="48"/>
  <c r="H26" i="48"/>
  <c r="M26" i="48"/>
  <c r="J26" i="48"/>
  <c r="K26" i="48"/>
  <c r="F26" i="48"/>
  <c r="E26" i="48"/>
  <c r="C26" i="48"/>
  <c r="G26" i="48"/>
  <c r="N26" i="48"/>
  <c r="D26" i="48"/>
  <c r="I26" i="48"/>
  <c r="D8" i="57"/>
  <c r="D8" i="46"/>
  <c r="J8" i="57"/>
  <c r="J8" i="46"/>
  <c r="K8" i="46"/>
  <c r="K8" i="57"/>
  <c r="O22" i="41"/>
  <c r="C19" i="40"/>
  <c r="O19" i="40" s="1"/>
  <c r="C14" i="40"/>
  <c r="O14" i="40" s="1"/>
  <c r="O17" i="41"/>
  <c r="O19" i="41"/>
  <c r="C16" i="40"/>
  <c r="O16" i="40" s="1"/>
  <c r="C17" i="40"/>
  <c r="O17" i="40" s="1"/>
  <c r="O20" i="41"/>
  <c r="L8" i="48"/>
  <c r="H8" i="48"/>
  <c r="E8" i="48"/>
  <c r="M8" i="48"/>
  <c r="C8" i="48"/>
  <c r="G8" i="48"/>
  <c r="J8" i="48"/>
  <c r="K8" i="48"/>
  <c r="F8" i="48"/>
  <c r="D8" i="48"/>
  <c r="I8" i="48"/>
  <c r="N8" i="48"/>
  <c r="O14" i="41"/>
  <c r="C11" i="40"/>
  <c r="O11" i="40" s="1"/>
  <c r="C22" i="40"/>
  <c r="O22" i="40" s="1"/>
  <c r="O25" i="41"/>
  <c r="O9" i="41"/>
  <c r="C6" i="40"/>
  <c r="O6" i="40" s="1"/>
  <c r="C8" i="40"/>
  <c r="O8" i="40" s="1"/>
  <c r="O11" i="41"/>
  <c r="O17" i="47"/>
  <c r="J25" i="48"/>
  <c r="C25" i="48"/>
  <c r="G25" i="48"/>
  <c r="K25" i="48"/>
  <c r="H25" i="48"/>
  <c r="L25" i="48"/>
  <c r="M25" i="48"/>
  <c r="F25" i="48"/>
  <c r="E25" i="48"/>
  <c r="N25" i="48"/>
  <c r="I25" i="48"/>
  <c r="D25" i="48"/>
  <c r="L9" i="48"/>
  <c r="H9" i="48"/>
  <c r="J9" i="48"/>
  <c r="E9" i="48"/>
  <c r="M9" i="48"/>
  <c r="K9" i="48"/>
  <c r="C9" i="48"/>
  <c r="F9" i="48"/>
  <c r="N9" i="48"/>
  <c r="I9" i="48"/>
  <c r="G9" i="48"/>
  <c r="D9" i="48"/>
  <c r="C13" i="40"/>
  <c r="O13" i="40" s="1"/>
  <c r="O16" i="41"/>
  <c r="C18" i="40"/>
  <c r="O18" i="40" s="1"/>
  <c r="O21" i="41"/>
  <c r="O23" i="41"/>
  <c r="C20" i="40"/>
  <c r="O20" i="40" s="1"/>
  <c r="K4" i="40"/>
  <c r="K24" i="40" s="1"/>
  <c r="D4" i="40"/>
  <c r="D24" i="40" s="1"/>
  <c r="J4" i="40"/>
  <c r="J24" i="40" s="1"/>
  <c r="H28" i="5"/>
  <c r="F28" i="22"/>
  <c r="G28" i="22"/>
  <c r="U25" i="5"/>
  <c r="L25" i="5"/>
  <c r="G20" i="4"/>
  <c r="G15" i="4"/>
  <c r="G17" i="4"/>
  <c r="G12" i="4"/>
  <c r="G14" i="4"/>
  <c r="C28" i="13"/>
  <c r="D8" i="13"/>
  <c r="G22" i="4"/>
  <c r="L20" i="4"/>
  <c r="M20" i="4" s="1"/>
  <c r="E20" i="14"/>
  <c r="F20" i="14" s="1"/>
  <c r="E20" i="13"/>
  <c r="F20" i="13" s="1"/>
  <c r="G27" i="4"/>
  <c r="G18" i="4"/>
  <c r="G26" i="4"/>
  <c r="G9" i="4"/>
  <c r="G24" i="4"/>
  <c r="F28" i="4"/>
  <c r="G19" i="4"/>
  <c r="G16" i="4"/>
  <c r="G8" i="4"/>
  <c r="G13" i="4"/>
  <c r="U20" i="5"/>
  <c r="G43" i="5"/>
  <c r="H43" i="5" s="1"/>
  <c r="L12" i="5"/>
  <c r="Z12" i="5"/>
  <c r="U12" i="5"/>
  <c r="U23" i="5"/>
  <c r="I45" i="5"/>
  <c r="J45" i="5" s="1"/>
  <c r="P17" i="5"/>
  <c r="Z23" i="5"/>
  <c r="U15" i="5"/>
  <c r="U24" i="5"/>
  <c r="Z24" i="5"/>
  <c r="Z15" i="5"/>
  <c r="U11" i="5"/>
  <c r="K8" i="4"/>
  <c r="K14" i="4"/>
  <c r="K18" i="4"/>
  <c r="K16" i="4"/>
  <c r="K22" i="4"/>
  <c r="K11" i="4"/>
  <c r="K19" i="4"/>
  <c r="K17" i="4"/>
  <c r="K27" i="4"/>
  <c r="K23" i="4"/>
  <c r="K13" i="4"/>
  <c r="K24" i="4"/>
  <c r="K25" i="4"/>
  <c r="K12" i="4"/>
  <c r="K21" i="4"/>
  <c r="K9" i="4"/>
  <c r="K26" i="4"/>
  <c r="K10" i="4"/>
  <c r="K15" i="4"/>
  <c r="H28" i="8"/>
  <c r="I28" i="8" s="1"/>
  <c r="F28" i="8"/>
  <c r="U16" i="5"/>
  <c r="Z16" i="5"/>
  <c r="U21" i="5"/>
  <c r="U14" i="5"/>
  <c r="Z14" i="5"/>
  <c r="U26" i="5"/>
  <c r="Z11" i="5"/>
  <c r="Z26" i="5"/>
  <c r="Z21" i="5"/>
  <c r="Z20" i="5"/>
  <c r="Z17" i="5"/>
  <c r="H8" i="7"/>
  <c r="AE9" i="3" s="1"/>
  <c r="G28" i="7"/>
  <c r="H28" i="7" s="1"/>
  <c r="H58" i="5"/>
  <c r="I58" i="5"/>
  <c r="R28" i="5"/>
  <c r="S28" i="5" s="1"/>
  <c r="S8" i="5"/>
  <c r="U9" i="3" s="1"/>
  <c r="H49" i="5"/>
  <c r="I49" i="5"/>
  <c r="H46" i="5"/>
  <c r="I46" i="5"/>
  <c r="Z13" i="5"/>
  <c r="U13" i="5"/>
  <c r="U27" i="5"/>
  <c r="Z27" i="5"/>
  <c r="H53" i="5"/>
  <c r="I53" i="5"/>
  <c r="H57" i="5"/>
  <c r="I57" i="5"/>
  <c r="P25" i="5"/>
  <c r="P24" i="5"/>
  <c r="P22" i="5"/>
  <c r="P20" i="5"/>
  <c r="P16" i="5"/>
  <c r="P15" i="5"/>
  <c r="P27" i="5"/>
  <c r="P9" i="5"/>
  <c r="P8" i="5"/>
  <c r="P10" i="5"/>
  <c r="P11" i="5"/>
  <c r="U18" i="5"/>
  <c r="Z18" i="5"/>
  <c r="H55" i="5"/>
  <c r="I55" i="5"/>
  <c r="H47" i="5"/>
  <c r="I47" i="5"/>
  <c r="I41" i="5"/>
  <c r="H41" i="5"/>
  <c r="H42" i="5"/>
  <c r="I42" i="5"/>
  <c r="U19" i="5"/>
  <c r="Z19" i="5"/>
  <c r="Z9" i="5"/>
  <c r="U9" i="5"/>
  <c r="U10" i="5"/>
  <c r="Z10" i="5"/>
  <c r="H48" i="5"/>
  <c r="I48" i="5"/>
  <c r="H54" i="5"/>
  <c r="I54" i="5"/>
  <c r="H39" i="5"/>
  <c r="I39" i="5"/>
  <c r="H52" i="5"/>
  <c r="I52" i="5"/>
  <c r="U22" i="5"/>
  <c r="Z22" i="5"/>
  <c r="H50" i="5"/>
  <c r="I50" i="5"/>
  <c r="L13" i="5"/>
  <c r="G44" i="5"/>
  <c r="G40" i="5"/>
  <c r="L9" i="5"/>
  <c r="I51" i="5" l="1"/>
  <c r="J51" i="5" s="1"/>
  <c r="O18" i="5"/>
  <c r="Q18" i="5" s="1"/>
  <c r="W19" i="3" s="1"/>
  <c r="O21" i="5"/>
  <c r="P21" i="5" s="1"/>
  <c r="N21" i="65"/>
  <c r="O21" i="65" s="1"/>
  <c r="L21" i="65"/>
  <c r="M21" i="65" s="1"/>
  <c r="N19" i="65"/>
  <c r="O19" i="65" s="1"/>
  <c r="L19" i="65"/>
  <c r="M19" i="65" s="1"/>
  <c r="N17" i="65"/>
  <c r="O17" i="65" s="1"/>
  <c r="L17" i="65"/>
  <c r="M17" i="65" s="1"/>
  <c r="L15" i="65"/>
  <c r="M15" i="65" s="1"/>
  <c r="N15" i="65"/>
  <c r="O15" i="65" s="1"/>
  <c r="N28" i="65"/>
  <c r="O28" i="65" s="1"/>
  <c r="L28" i="65"/>
  <c r="M28" i="65" s="1"/>
  <c r="L10" i="65"/>
  <c r="M10" i="65" s="1"/>
  <c r="N10" i="65"/>
  <c r="O10" i="65" s="1"/>
  <c r="N27" i="65"/>
  <c r="O27" i="65" s="1"/>
  <c r="L27" i="65"/>
  <c r="M27" i="65" s="1"/>
  <c r="N25" i="65"/>
  <c r="O25" i="65" s="1"/>
  <c r="L25" i="65"/>
  <c r="M25" i="65" s="1"/>
  <c r="N23" i="65"/>
  <c r="O23" i="65" s="1"/>
  <c r="L23" i="65"/>
  <c r="M23" i="65" s="1"/>
  <c r="N26" i="65"/>
  <c r="O26" i="65" s="1"/>
  <c r="L26" i="65"/>
  <c r="M26" i="65" s="1"/>
  <c r="L18" i="65"/>
  <c r="M18" i="65" s="1"/>
  <c r="N18" i="65"/>
  <c r="O18" i="65" s="1"/>
  <c r="L16" i="65"/>
  <c r="M16" i="65" s="1"/>
  <c r="N16" i="65"/>
  <c r="O16" i="65" s="1"/>
  <c r="N14" i="65"/>
  <c r="O14" i="65" s="1"/>
  <c r="L14" i="65"/>
  <c r="M14" i="65" s="1"/>
  <c r="L12" i="65"/>
  <c r="M12" i="65" s="1"/>
  <c r="N12" i="65"/>
  <c r="O12" i="65" s="1"/>
  <c r="L9" i="65"/>
  <c r="K29" i="65"/>
  <c r="N9" i="65"/>
  <c r="L13" i="65"/>
  <c r="M13" i="65" s="1"/>
  <c r="N13" i="65"/>
  <c r="O13" i="65" s="1"/>
  <c r="L11" i="65"/>
  <c r="M11" i="65" s="1"/>
  <c r="N11" i="65"/>
  <c r="O11" i="65" s="1"/>
  <c r="N24" i="65"/>
  <c r="O24" i="65" s="1"/>
  <c r="L24" i="65"/>
  <c r="M24" i="65" s="1"/>
  <c r="L22" i="65"/>
  <c r="M22" i="65" s="1"/>
  <c r="N22" i="65"/>
  <c r="O22" i="65" s="1"/>
  <c r="N20" i="65"/>
  <c r="O20" i="65" s="1"/>
  <c r="L20" i="65"/>
  <c r="M20" i="65" s="1"/>
  <c r="J29" i="65"/>
  <c r="I56" i="5"/>
  <c r="J56" i="5" s="1"/>
  <c r="C14" i="57"/>
  <c r="K14" i="46"/>
  <c r="F19" i="46"/>
  <c r="M14" i="46"/>
  <c r="D14" i="57"/>
  <c r="F14" i="46"/>
  <c r="L14" i="57"/>
  <c r="N9" i="57"/>
  <c r="H14" i="57"/>
  <c r="K9" i="46"/>
  <c r="J14" i="46"/>
  <c r="J19" i="46"/>
  <c r="M9" i="57"/>
  <c r="I14" i="57"/>
  <c r="N14" i="46"/>
  <c r="N19" i="57"/>
  <c r="L9" i="57"/>
  <c r="E9" i="46"/>
  <c r="G6" i="57"/>
  <c r="G6" i="46"/>
  <c r="C6" i="57"/>
  <c r="O9" i="48"/>
  <c r="C6" i="46"/>
  <c r="J6" i="57"/>
  <c r="J6" i="46"/>
  <c r="I22" i="57"/>
  <c r="I22" i="46"/>
  <c r="M22" i="57"/>
  <c r="M22" i="46"/>
  <c r="G22" i="46"/>
  <c r="G22" i="57"/>
  <c r="D5" i="57"/>
  <c r="D5" i="46"/>
  <c r="G5" i="57"/>
  <c r="G5" i="46"/>
  <c r="H5" i="57"/>
  <c r="H5" i="46"/>
  <c r="I23" i="46"/>
  <c r="I23" i="57"/>
  <c r="C23" i="57"/>
  <c r="C23" i="46"/>
  <c r="O26" i="48"/>
  <c r="J23" i="46"/>
  <c r="J23" i="57"/>
  <c r="N18" i="46"/>
  <c r="N18" i="57"/>
  <c r="C18" i="57"/>
  <c r="C18" i="46"/>
  <c r="O21" i="48"/>
  <c r="L18" i="46"/>
  <c r="L18" i="57"/>
  <c r="G19" i="46"/>
  <c r="N7" i="57"/>
  <c r="N7" i="46"/>
  <c r="G7" i="46"/>
  <c r="G7" i="57"/>
  <c r="E7" i="57"/>
  <c r="E7" i="46"/>
  <c r="D16" i="57"/>
  <c r="D16" i="46"/>
  <c r="G16" i="46"/>
  <c r="G16" i="57"/>
  <c r="M16" i="57"/>
  <c r="M16" i="46"/>
  <c r="N13" i="46"/>
  <c r="N13" i="57"/>
  <c r="J13" i="57"/>
  <c r="J13" i="46"/>
  <c r="K13" i="46"/>
  <c r="K13" i="57"/>
  <c r="O8" i="57"/>
  <c r="C9" i="57"/>
  <c r="O12" i="48"/>
  <c r="I20" i="46"/>
  <c r="I20" i="57"/>
  <c r="J20" i="57"/>
  <c r="J20" i="46"/>
  <c r="M20" i="46"/>
  <c r="M20" i="57"/>
  <c r="D11" i="46"/>
  <c r="D11" i="57"/>
  <c r="F11" i="46"/>
  <c r="F11" i="57"/>
  <c r="J11" i="57"/>
  <c r="J11" i="46"/>
  <c r="L19" i="46"/>
  <c r="F12" i="57"/>
  <c r="F12" i="46"/>
  <c r="K12" i="46"/>
  <c r="K12" i="57"/>
  <c r="L12" i="46"/>
  <c r="L12" i="57"/>
  <c r="G9" i="57"/>
  <c r="O27" i="41"/>
  <c r="G14" i="46"/>
  <c r="D4" i="46"/>
  <c r="D4" i="57"/>
  <c r="D27" i="48"/>
  <c r="J4" i="57"/>
  <c r="J4" i="46"/>
  <c r="J27" i="48"/>
  <c r="L4" i="46"/>
  <c r="L4" i="57"/>
  <c r="L27" i="48"/>
  <c r="N21" i="46"/>
  <c r="N21" i="57"/>
  <c r="J21" i="57"/>
  <c r="J21" i="46"/>
  <c r="C21" i="57"/>
  <c r="C21" i="46"/>
  <c r="O24" i="48"/>
  <c r="I19" i="57"/>
  <c r="D19" i="46"/>
  <c r="N17" i="57"/>
  <c r="N17" i="46"/>
  <c r="C17" i="57"/>
  <c r="O20" i="48"/>
  <c r="C17" i="46"/>
  <c r="L17" i="57"/>
  <c r="L17" i="46"/>
  <c r="D10" i="57"/>
  <c r="D10" i="46"/>
  <c r="E10" i="57"/>
  <c r="E10" i="46"/>
  <c r="H10" i="46"/>
  <c r="H10" i="57"/>
  <c r="D15" i="46"/>
  <c r="D15" i="57"/>
  <c r="K15" i="57"/>
  <c r="K15" i="46"/>
  <c r="H15" i="57"/>
  <c r="H15" i="46"/>
  <c r="J9" i="46"/>
  <c r="I6" i="46"/>
  <c r="I6" i="57"/>
  <c r="K6" i="57"/>
  <c r="K6" i="46"/>
  <c r="H6" i="57"/>
  <c r="H6" i="46"/>
  <c r="N22" i="57"/>
  <c r="N22" i="46"/>
  <c r="L22" i="46"/>
  <c r="L22" i="57"/>
  <c r="C22" i="57"/>
  <c r="O25" i="48"/>
  <c r="C22" i="46"/>
  <c r="F5" i="57"/>
  <c r="F5" i="46"/>
  <c r="C5" i="57"/>
  <c r="O8" i="48"/>
  <c r="C5" i="46"/>
  <c r="L5" i="57"/>
  <c r="L5" i="46"/>
  <c r="D23" i="46"/>
  <c r="D23" i="57"/>
  <c r="E23" i="46"/>
  <c r="E23" i="57"/>
  <c r="M23" i="57"/>
  <c r="M23" i="46"/>
  <c r="F18" i="46"/>
  <c r="F18" i="57"/>
  <c r="E18" i="57"/>
  <c r="E18" i="46"/>
  <c r="H18" i="57"/>
  <c r="H18" i="46"/>
  <c r="K19" i="46"/>
  <c r="I7" i="46"/>
  <c r="I7" i="57"/>
  <c r="C7" i="57"/>
  <c r="O10" i="48"/>
  <c r="C7" i="46"/>
  <c r="M7" i="46"/>
  <c r="M7" i="57"/>
  <c r="I16" i="46"/>
  <c r="I16" i="57"/>
  <c r="C16" i="57"/>
  <c r="O19" i="48"/>
  <c r="C16" i="46"/>
  <c r="J16" i="46"/>
  <c r="J16" i="57"/>
  <c r="D13" i="57"/>
  <c r="D13" i="46"/>
  <c r="E13" i="46"/>
  <c r="E13" i="57"/>
  <c r="H13" i="57"/>
  <c r="H13" i="46"/>
  <c r="D20" i="46"/>
  <c r="D20" i="57"/>
  <c r="E20" i="57"/>
  <c r="E20" i="46"/>
  <c r="K20" i="57"/>
  <c r="K20" i="46"/>
  <c r="N11" i="57"/>
  <c r="N11" i="46"/>
  <c r="G11" i="46"/>
  <c r="G11" i="57"/>
  <c r="H11" i="46"/>
  <c r="H11" i="57"/>
  <c r="E19" i="46"/>
  <c r="N12" i="57"/>
  <c r="N12" i="46"/>
  <c r="G12" i="46"/>
  <c r="G12" i="57"/>
  <c r="J12" i="57"/>
  <c r="J12" i="46"/>
  <c r="O17" i="48"/>
  <c r="F4" i="57"/>
  <c r="F4" i="46"/>
  <c r="F27" i="48"/>
  <c r="E4" i="57"/>
  <c r="E4" i="46"/>
  <c r="E27" i="48"/>
  <c r="H27" i="48"/>
  <c r="H4" i="46"/>
  <c r="H4" i="57"/>
  <c r="I21" i="46"/>
  <c r="I21" i="57"/>
  <c r="M21" i="57"/>
  <c r="M21" i="46"/>
  <c r="L21" i="46"/>
  <c r="L21" i="57"/>
  <c r="H19" i="57"/>
  <c r="I17" i="57"/>
  <c r="I17" i="46"/>
  <c r="J17" i="46"/>
  <c r="J17" i="57"/>
  <c r="F17" i="57"/>
  <c r="F17" i="46"/>
  <c r="I10" i="46"/>
  <c r="I10" i="57"/>
  <c r="J10" i="57"/>
  <c r="J10" i="46"/>
  <c r="C10" i="57"/>
  <c r="O13" i="48"/>
  <c r="C10" i="46"/>
  <c r="I15" i="46"/>
  <c r="I15" i="57"/>
  <c r="E15" i="46"/>
  <c r="E15" i="57"/>
  <c r="J15" i="46"/>
  <c r="J15" i="57"/>
  <c r="O27" i="47"/>
  <c r="N6" i="46"/>
  <c r="N6" i="57"/>
  <c r="M6" i="57"/>
  <c r="M6" i="46"/>
  <c r="L6" i="46"/>
  <c r="L6" i="57"/>
  <c r="E22" i="46"/>
  <c r="E22" i="57"/>
  <c r="H22" i="46"/>
  <c r="H22" i="57"/>
  <c r="J22" i="57"/>
  <c r="J22" i="46"/>
  <c r="N5" i="57"/>
  <c r="N5" i="46"/>
  <c r="K5" i="46"/>
  <c r="K5" i="57"/>
  <c r="M5" i="46"/>
  <c r="M5" i="57"/>
  <c r="N23" i="46"/>
  <c r="N23" i="57"/>
  <c r="F23" i="46"/>
  <c r="F23" i="57"/>
  <c r="H23" i="46"/>
  <c r="H23" i="57"/>
  <c r="D18" i="46"/>
  <c r="D18" i="57"/>
  <c r="K18" i="57"/>
  <c r="K18" i="46"/>
  <c r="J18" i="46"/>
  <c r="J18" i="57"/>
  <c r="C19" i="57"/>
  <c r="O22" i="48"/>
  <c r="C19" i="46"/>
  <c r="D7" i="46"/>
  <c r="D7" i="57"/>
  <c r="K7" i="46"/>
  <c r="K7" i="57"/>
  <c r="L7" i="46"/>
  <c r="L7" i="57"/>
  <c r="N16" i="46"/>
  <c r="N16" i="57"/>
  <c r="E16" i="57"/>
  <c r="E16" i="46"/>
  <c r="L16" i="57"/>
  <c r="L16" i="46"/>
  <c r="I13" i="46"/>
  <c r="I13" i="57"/>
  <c r="G13" i="57"/>
  <c r="G13" i="46"/>
  <c r="M13" i="46"/>
  <c r="M13" i="57"/>
  <c r="F20" i="57"/>
  <c r="F20" i="46"/>
  <c r="H20" i="46"/>
  <c r="H20" i="57"/>
  <c r="L20" i="57"/>
  <c r="L20" i="46"/>
  <c r="M11" i="46"/>
  <c r="M11" i="57"/>
  <c r="C11" i="57"/>
  <c r="C11" i="46"/>
  <c r="O14" i="48"/>
  <c r="L11" i="57"/>
  <c r="L11" i="46"/>
  <c r="M19" i="57"/>
  <c r="I12" i="46"/>
  <c r="I12" i="57"/>
  <c r="C12" i="57"/>
  <c r="O15" i="48"/>
  <c r="C12" i="46"/>
  <c r="M12" i="57"/>
  <c r="M12" i="46"/>
  <c r="D9" i="46"/>
  <c r="H9" i="57"/>
  <c r="O4" i="40"/>
  <c r="O24" i="40" s="1"/>
  <c r="C24" i="40"/>
  <c r="I4" i="57"/>
  <c r="I27" i="48"/>
  <c r="I4" i="46"/>
  <c r="G4" i="57"/>
  <c r="G27" i="48"/>
  <c r="G4" i="46"/>
  <c r="M4" i="46"/>
  <c r="M4" i="57"/>
  <c r="M27" i="48"/>
  <c r="F21" i="57"/>
  <c r="F21" i="46"/>
  <c r="E21" i="57"/>
  <c r="E21" i="46"/>
  <c r="H21" i="46"/>
  <c r="H21" i="57"/>
  <c r="D17" i="46"/>
  <c r="D17" i="57"/>
  <c r="M17" i="57"/>
  <c r="M17" i="46"/>
  <c r="K17" i="57"/>
  <c r="K17" i="46"/>
  <c r="N10" i="46"/>
  <c r="N10" i="57"/>
  <c r="M10" i="57"/>
  <c r="M10" i="46"/>
  <c r="K10" i="46"/>
  <c r="K10" i="57"/>
  <c r="N15" i="57"/>
  <c r="N15" i="46"/>
  <c r="C15" i="57"/>
  <c r="C15" i="46"/>
  <c r="O18" i="48"/>
  <c r="M15" i="46"/>
  <c r="M15" i="57"/>
  <c r="F9" i="46"/>
  <c r="I9" i="46"/>
  <c r="D6" i="57"/>
  <c r="D6" i="46"/>
  <c r="F6" i="46"/>
  <c r="F6" i="57"/>
  <c r="E6" i="57"/>
  <c r="E6" i="46"/>
  <c r="D22" i="57"/>
  <c r="D22" i="46"/>
  <c r="F22" i="57"/>
  <c r="F22" i="46"/>
  <c r="K22" i="57"/>
  <c r="K22" i="46"/>
  <c r="I5" i="57"/>
  <c r="I5" i="46"/>
  <c r="J5" i="57"/>
  <c r="J5" i="46"/>
  <c r="E5" i="57"/>
  <c r="E5" i="46"/>
  <c r="G23" i="57"/>
  <c r="G23" i="46"/>
  <c r="K23" i="57"/>
  <c r="K23" i="46"/>
  <c r="L23" i="46"/>
  <c r="L23" i="57"/>
  <c r="I18" i="46"/>
  <c r="I18" i="57"/>
  <c r="M18" i="46"/>
  <c r="M18" i="57"/>
  <c r="G18" i="46"/>
  <c r="G18" i="57"/>
  <c r="F7" i="57"/>
  <c r="F7" i="46"/>
  <c r="J7" i="57"/>
  <c r="J7" i="46"/>
  <c r="H7" i="57"/>
  <c r="H7" i="46"/>
  <c r="F16" i="46"/>
  <c r="F16" i="57"/>
  <c r="K16" i="46"/>
  <c r="K16" i="57"/>
  <c r="H16" i="46"/>
  <c r="H16" i="57"/>
  <c r="F13" i="57"/>
  <c r="F13" i="46"/>
  <c r="C13" i="57"/>
  <c r="O16" i="48"/>
  <c r="C13" i="46"/>
  <c r="L13" i="57"/>
  <c r="L13" i="46"/>
  <c r="O8" i="46"/>
  <c r="N20" i="46"/>
  <c r="N20" i="57"/>
  <c r="G20" i="46"/>
  <c r="G20" i="57"/>
  <c r="O23" i="48"/>
  <c r="C20" i="57"/>
  <c r="C20" i="46"/>
  <c r="I11" i="46"/>
  <c r="I11" i="57"/>
  <c r="E11" i="46"/>
  <c r="E11" i="57"/>
  <c r="K11" i="57"/>
  <c r="K11" i="46"/>
  <c r="D12" i="46"/>
  <c r="D12" i="57"/>
  <c r="E12" i="57"/>
  <c r="E12" i="46"/>
  <c r="H12" i="46"/>
  <c r="H12" i="57"/>
  <c r="E14" i="46"/>
  <c r="N27" i="48"/>
  <c r="N4" i="46"/>
  <c r="N4" i="57"/>
  <c r="C4" i="57"/>
  <c r="C4" i="46"/>
  <c r="C27" i="48"/>
  <c r="O7" i="48"/>
  <c r="K4" i="57"/>
  <c r="K27" i="48"/>
  <c r="K4" i="46"/>
  <c r="D21" i="46"/>
  <c r="D21" i="57"/>
  <c r="K21" i="46"/>
  <c r="K21" i="57"/>
  <c r="G21" i="57"/>
  <c r="G21" i="46"/>
  <c r="G17" i="57"/>
  <c r="G17" i="46"/>
  <c r="E17" i="46"/>
  <c r="E17" i="57"/>
  <c r="H17" i="46"/>
  <c r="H17" i="57"/>
  <c r="F10" i="46"/>
  <c r="F10" i="57"/>
  <c r="G10" i="57"/>
  <c r="G10" i="46"/>
  <c r="L10" i="57"/>
  <c r="L10" i="46"/>
  <c r="G15" i="46"/>
  <c r="G15" i="57"/>
  <c r="F15" i="46"/>
  <c r="F15" i="57"/>
  <c r="L15" i="46"/>
  <c r="L15" i="57"/>
  <c r="C9" i="46"/>
  <c r="O14" i="5"/>
  <c r="P14" i="5" s="1"/>
  <c r="O26" i="5"/>
  <c r="Q26" i="5" s="1"/>
  <c r="W27" i="3" s="1"/>
  <c r="G59" i="5"/>
  <c r="H59" i="5" s="1"/>
  <c r="O13" i="5"/>
  <c r="P13" i="5" s="1"/>
  <c r="O28" i="5"/>
  <c r="O23" i="5"/>
  <c r="P23" i="5" s="1"/>
  <c r="P19" i="5"/>
  <c r="H15" i="22"/>
  <c r="I15" i="22" s="1"/>
  <c r="J15" i="22" s="1"/>
  <c r="H21" i="22"/>
  <c r="I21" i="22" s="1"/>
  <c r="H23" i="22"/>
  <c r="I23" i="22" s="1"/>
  <c r="J23" i="22" s="1"/>
  <c r="H10" i="22"/>
  <c r="I10" i="22" s="1"/>
  <c r="J10" i="22" s="1"/>
  <c r="H14" i="22"/>
  <c r="I14" i="22" s="1"/>
  <c r="H9" i="22"/>
  <c r="I9" i="22" s="1"/>
  <c r="H22" i="22"/>
  <c r="I22" i="22" s="1"/>
  <c r="J22" i="22" s="1"/>
  <c r="H13" i="22"/>
  <c r="I13" i="22" s="1"/>
  <c r="H11" i="22"/>
  <c r="I11" i="22" s="1"/>
  <c r="J11" i="22" s="1"/>
  <c r="H27" i="22"/>
  <c r="I27" i="22" s="1"/>
  <c r="J27" i="22" s="1"/>
  <c r="H25" i="22"/>
  <c r="I25" i="22" s="1"/>
  <c r="J25" i="22" s="1"/>
  <c r="H19" i="22"/>
  <c r="I19" i="22" s="1"/>
  <c r="J19" i="22" s="1"/>
  <c r="H17" i="22"/>
  <c r="I17" i="22" s="1"/>
  <c r="H24" i="22"/>
  <c r="I24" i="22" s="1"/>
  <c r="J24" i="22" s="1"/>
  <c r="H20" i="22"/>
  <c r="I20" i="22" s="1"/>
  <c r="J20" i="22" s="1"/>
  <c r="H8" i="22"/>
  <c r="H16" i="22"/>
  <c r="I16" i="22" s="1"/>
  <c r="J16" i="22" s="1"/>
  <c r="H12" i="22"/>
  <c r="I12" i="22" s="1"/>
  <c r="J12" i="22" s="1"/>
  <c r="H18" i="22"/>
  <c r="I18" i="22" s="1"/>
  <c r="J18" i="22" s="1"/>
  <c r="H26" i="22"/>
  <c r="I26" i="22" s="1"/>
  <c r="J26" i="22" s="1"/>
  <c r="I43" i="5"/>
  <c r="J43" i="5" s="1"/>
  <c r="O20" i="4"/>
  <c r="P20" i="4" s="1"/>
  <c r="L10" i="4"/>
  <c r="O10" i="4" s="1"/>
  <c r="P10" i="4" s="1"/>
  <c r="E10" i="14"/>
  <c r="F10" i="14" s="1"/>
  <c r="E10" i="13"/>
  <c r="F10" i="13" s="1"/>
  <c r="L23" i="4"/>
  <c r="E23" i="14"/>
  <c r="F23" i="14" s="1"/>
  <c r="E23" i="13"/>
  <c r="F23" i="13" s="1"/>
  <c r="L14" i="4"/>
  <c r="O14" i="4" s="1"/>
  <c r="P14" i="4" s="1"/>
  <c r="E14" i="14"/>
  <c r="F14" i="14" s="1"/>
  <c r="E14" i="13"/>
  <c r="F14" i="13" s="1"/>
  <c r="L26" i="4"/>
  <c r="O26" i="4" s="1"/>
  <c r="P26" i="4" s="1"/>
  <c r="E26" i="14"/>
  <c r="F26" i="14" s="1"/>
  <c r="E26" i="13"/>
  <c r="F26" i="13" s="1"/>
  <c r="L25" i="4"/>
  <c r="O25" i="4" s="1"/>
  <c r="P25" i="4" s="1"/>
  <c r="E25" i="14"/>
  <c r="F25" i="14" s="1"/>
  <c r="E25" i="13"/>
  <c r="F25" i="13" s="1"/>
  <c r="L27" i="4"/>
  <c r="E27" i="14"/>
  <c r="F27" i="14" s="1"/>
  <c r="E27" i="13"/>
  <c r="F27" i="13" s="1"/>
  <c r="L22" i="4"/>
  <c r="O22" i="4" s="1"/>
  <c r="P22" i="4" s="1"/>
  <c r="E22" i="14"/>
  <c r="F22" i="14" s="1"/>
  <c r="E22" i="13"/>
  <c r="F22" i="13" s="1"/>
  <c r="L8" i="4"/>
  <c r="O8" i="4" s="1"/>
  <c r="P8" i="4" s="1"/>
  <c r="E8" i="14"/>
  <c r="F8" i="14" s="1"/>
  <c r="E8" i="13"/>
  <c r="L12" i="4"/>
  <c r="O12" i="4" s="1"/>
  <c r="P12" i="4" s="1"/>
  <c r="E12" i="14"/>
  <c r="F12" i="14" s="1"/>
  <c r="E12" i="13"/>
  <c r="F12" i="13" s="1"/>
  <c r="L11" i="4"/>
  <c r="O11" i="4" s="1"/>
  <c r="P11" i="4" s="1"/>
  <c r="E11" i="14"/>
  <c r="F11" i="14" s="1"/>
  <c r="E11" i="13"/>
  <c r="F11" i="13" s="1"/>
  <c r="L9" i="4"/>
  <c r="O9" i="4" s="1"/>
  <c r="P9" i="4" s="1"/>
  <c r="E9" i="14"/>
  <c r="F9" i="14" s="1"/>
  <c r="E9" i="13"/>
  <c r="F9" i="13" s="1"/>
  <c r="L24" i="4"/>
  <c r="O24" i="4" s="1"/>
  <c r="P24" i="4" s="1"/>
  <c r="E24" i="14"/>
  <c r="F24" i="14" s="1"/>
  <c r="E24" i="13"/>
  <c r="F24" i="13" s="1"/>
  <c r="L17" i="4"/>
  <c r="O17" i="4" s="1"/>
  <c r="P17" i="4" s="1"/>
  <c r="E17" i="14"/>
  <c r="F17" i="14" s="1"/>
  <c r="E17" i="13"/>
  <c r="F17" i="13" s="1"/>
  <c r="L16" i="4"/>
  <c r="O16" i="4" s="1"/>
  <c r="P16" i="4" s="1"/>
  <c r="E16" i="14"/>
  <c r="F16" i="14" s="1"/>
  <c r="E16" i="13"/>
  <c r="F16" i="13" s="1"/>
  <c r="L15" i="4"/>
  <c r="O15" i="4" s="1"/>
  <c r="P15" i="4" s="1"/>
  <c r="E15" i="14"/>
  <c r="F15" i="14" s="1"/>
  <c r="E15" i="13"/>
  <c r="F15" i="13" s="1"/>
  <c r="L21" i="4"/>
  <c r="E21" i="14"/>
  <c r="F21" i="14" s="1"/>
  <c r="E21" i="13"/>
  <c r="F21" i="13" s="1"/>
  <c r="L13" i="4"/>
  <c r="O13" i="4" s="1"/>
  <c r="P13" i="4" s="1"/>
  <c r="E13" i="14"/>
  <c r="F13" i="14" s="1"/>
  <c r="E13" i="13"/>
  <c r="F13" i="13" s="1"/>
  <c r="L19" i="4"/>
  <c r="O19" i="4" s="1"/>
  <c r="P19" i="4" s="1"/>
  <c r="E19" i="14"/>
  <c r="F19" i="14" s="1"/>
  <c r="E19" i="13"/>
  <c r="F19" i="13" s="1"/>
  <c r="L18" i="4"/>
  <c r="O18" i="4" s="1"/>
  <c r="P18" i="4" s="1"/>
  <c r="E18" i="14"/>
  <c r="F18" i="14" s="1"/>
  <c r="E18" i="13"/>
  <c r="F18" i="13" s="1"/>
  <c r="G28" i="4"/>
  <c r="N20" i="4"/>
  <c r="K28" i="4"/>
  <c r="I14" i="8"/>
  <c r="I19" i="8"/>
  <c r="I25" i="8"/>
  <c r="I15" i="8"/>
  <c r="I10" i="8"/>
  <c r="I9" i="8"/>
  <c r="I12" i="8"/>
  <c r="I27" i="8"/>
  <c r="I21" i="8"/>
  <c r="I18" i="8"/>
  <c r="I24" i="8"/>
  <c r="I20" i="8"/>
  <c r="I17" i="8"/>
  <c r="I11" i="8"/>
  <c r="I23" i="8"/>
  <c r="I8" i="8"/>
  <c r="B7" i="38" s="1"/>
  <c r="I22" i="8"/>
  <c r="I16" i="8"/>
  <c r="I26" i="8"/>
  <c r="I13" i="8"/>
  <c r="J49" i="5"/>
  <c r="J41" i="5"/>
  <c r="Q10" i="5"/>
  <c r="W11" i="3" s="1"/>
  <c r="J46" i="5"/>
  <c r="J48" i="5"/>
  <c r="Q9" i="5"/>
  <c r="W10" i="3" s="1"/>
  <c r="Q20" i="5"/>
  <c r="W21" i="3" s="1"/>
  <c r="J47" i="5"/>
  <c r="J39" i="5"/>
  <c r="J42" i="5"/>
  <c r="J57" i="5"/>
  <c r="Q16" i="5"/>
  <c r="W17" i="3" s="1"/>
  <c r="J52" i="5"/>
  <c r="J55" i="5"/>
  <c r="J53" i="5"/>
  <c r="Q24" i="5"/>
  <c r="W25" i="3" s="1"/>
  <c r="Q25" i="5"/>
  <c r="W26" i="3" s="1"/>
  <c r="H44" i="5"/>
  <c r="I44" i="5"/>
  <c r="J50" i="5"/>
  <c r="J54" i="5"/>
  <c r="Q22" i="5"/>
  <c r="W23" i="3" s="1"/>
  <c r="P12" i="5"/>
  <c r="Q12" i="5"/>
  <c r="W13" i="3" s="1"/>
  <c r="Q17" i="5"/>
  <c r="W18" i="3" s="1"/>
  <c r="Q15" i="5"/>
  <c r="W16" i="3" s="1"/>
  <c r="Q8" i="5"/>
  <c r="W9" i="3" s="1"/>
  <c r="Q11" i="5"/>
  <c r="W12" i="3" s="1"/>
  <c r="Q19" i="5"/>
  <c r="W20" i="3" s="1"/>
  <c r="Z8" i="5"/>
  <c r="Z28" i="5" s="1"/>
  <c r="U8" i="5"/>
  <c r="U28" i="5" s="1"/>
  <c r="H40" i="5"/>
  <c r="I40" i="5"/>
  <c r="L28" i="5"/>
  <c r="Q27" i="5"/>
  <c r="W28" i="3" s="1"/>
  <c r="J58" i="5"/>
  <c r="Q21" i="5" l="1"/>
  <c r="W22" i="3" s="1"/>
  <c r="P18" i="5"/>
  <c r="O9" i="65"/>
  <c r="O29" i="65" s="1"/>
  <c r="P9" i="65" s="1"/>
  <c r="N29" i="65"/>
  <c r="L29" i="65"/>
  <c r="M29" i="65" s="1"/>
  <c r="M9" i="65"/>
  <c r="K18" i="22"/>
  <c r="L18" i="22" s="1"/>
  <c r="AA19" i="3" s="1"/>
  <c r="B17" i="35"/>
  <c r="K22" i="22"/>
  <c r="L22" i="22" s="1"/>
  <c r="AA23" i="3" s="1"/>
  <c r="B21" i="35"/>
  <c r="K12" i="22"/>
  <c r="L12" i="22" s="1"/>
  <c r="AA13" i="3" s="1"/>
  <c r="B11" i="35"/>
  <c r="K24" i="22"/>
  <c r="L24" i="22" s="1"/>
  <c r="AA25" i="3" s="1"/>
  <c r="B23" i="35"/>
  <c r="K27" i="22"/>
  <c r="L27" i="22" s="1"/>
  <c r="AA28" i="3" s="1"/>
  <c r="B26" i="35"/>
  <c r="K25" i="22"/>
  <c r="L25" i="22" s="1"/>
  <c r="AA26" i="3" s="1"/>
  <c r="B24" i="35"/>
  <c r="K16" i="22"/>
  <c r="L16" i="22" s="1"/>
  <c r="AA17" i="3" s="1"/>
  <c r="B15" i="35"/>
  <c r="K11" i="22"/>
  <c r="L11" i="22" s="1"/>
  <c r="AA12" i="3" s="1"/>
  <c r="B10" i="35"/>
  <c r="K15" i="22"/>
  <c r="L15" i="22" s="1"/>
  <c r="AA16" i="3" s="1"/>
  <c r="B14" i="35"/>
  <c r="K20" i="22"/>
  <c r="L20" i="22" s="1"/>
  <c r="AA21" i="3" s="1"/>
  <c r="B19" i="35"/>
  <c r="K23" i="22"/>
  <c r="L23" i="22" s="1"/>
  <c r="AA24" i="3" s="1"/>
  <c r="B22" i="35"/>
  <c r="K26" i="22"/>
  <c r="L26" i="22" s="1"/>
  <c r="AA27" i="3" s="1"/>
  <c r="B25" i="35"/>
  <c r="K19" i="22"/>
  <c r="L19" i="22" s="1"/>
  <c r="AA20" i="3" s="1"/>
  <c r="B18" i="35"/>
  <c r="K10" i="22"/>
  <c r="L10" i="22" s="1"/>
  <c r="AA11" i="3" s="1"/>
  <c r="B9" i="35"/>
  <c r="O14" i="46"/>
  <c r="O14" i="57"/>
  <c r="P26" i="5"/>
  <c r="O9" i="46"/>
  <c r="N24" i="57"/>
  <c r="K24" i="46"/>
  <c r="O27" i="48"/>
  <c r="N24" i="46"/>
  <c r="O20" i="57"/>
  <c r="O19" i="46"/>
  <c r="O20" i="46"/>
  <c r="X19" i="3"/>
  <c r="B17" i="38"/>
  <c r="X14" i="3"/>
  <c r="B12" i="38"/>
  <c r="E7" i="38"/>
  <c r="G7" i="38"/>
  <c r="I7" i="38"/>
  <c r="M7" i="38"/>
  <c r="F7" i="38"/>
  <c r="J7" i="38"/>
  <c r="H7" i="38"/>
  <c r="N7" i="38"/>
  <c r="C7" i="38"/>
  <c r="K7" i="38"/>
  <c r="D7" i="38"/>
  <c r="L7" i="38"/>
  <c r="X21" i="3"/>
  <c r="B19" i="38"/>
  <c r="X28" i="3"/>
  <c r="B26" i="38"/>
  <c r="X16" i="3"/>
  <c r="B14" i="38"/>
  <c r="K24" i="57"/>
  <c r="O4" i="57"/>
  <c r="C24" i="57"/>
  <c r="O15" i="46"/>
  <c r="M24" i="46"/>
  <c r="I24" i="46"/>
  <c r="O19" i="57"/>
  <c r="O10" i="57"/>
  <c r="O7" i="57"/>
  <c r="O5" i="57"/>
  <c r="O21" i="57"/>
  <c r="D24" i="57"/>
  <c r="O23" i="46"/>
  <c r="X27" i="3"/>
  <c r="B25" i="38"/>
  <c r="X24" i="3"/>
  <c r="B22" i="38"/>
  <c r="X25" i="3"/>
  <c r="B23" i="38"/>
  <c r="X13" i="3"/>
  <c r="B11" i="38"/>
  <c r="X26" i="3"/>
  <c r="B24" i="38"/>
  <c r="O13" i="57"/>
  <c r="O15" i="57"/>
  <c r="G24" i="46"/>
  <c r="O12" i="46"/>
  <c r="F24" i="46"/>
  <c r="O16" i="57"/>
  <c r="O22" i="57"/>
  <c r="O17" i="57"/>
  <c r="J24" i="46"/>
  <c r="D24" i="46"/>
  <c r="O9" i="57"/>
  <c r="O18" i="46"/>
  <c r="O23" i="57"/>
  <c r="O6" i="57"/>
  <c r="X17" i="3"/>
  <c r="B15" i="38"/>
  <c r="I24" i="57"/>
  <c r="O11" i="46"/>
  <c r="O10" i="46"/>
  <c r="H24" i="57"/>
  <c r="E24" i="46"/>
  <c r="F24" i="57"/>
  <c r="O7" i="46"/>
  <c r="O5" i="46"/>
  <c r="L24" i="57"/>
  <c r="J24" i="57"/>
  <c r="O18" i="57"/>
  <c r="X12" i="3"/>
  <c r="B10" i="38"/>
  <c r="X10" i="3"/>
  <c r="B8" i="38"/>
  <c r="X20" i="3"/>
  <c r="B18" i="38"/>
  <c r="X23" i="3"/>
  <c r="B21" i="38"/>
  <c r="X18" i="3"/>
  <c r="B16" i="38"/>
  <c r="X22" i="3"/>
  <c r="B20" i="38"/>
  <c r="X11" i="3"/>
  <c r="B9" i="38"/>
  <c r="X15" i="3"/>
  <c r="B13" i="38"/>
  <c r="O4" i="46"/>
  <c r="C24" i="46"/>
  <c r="O13" i="46"/>
  <c r="M24" i="57"/>
  <c r="G24" i="57"/>
  <c r="O12" i="57"/>
  <c r="O11" i="57"/>
  <c r="H24" i="46"/>
  <c r="E24" i="57"/>
  <c r="O16" i="46"/>
  <c r="O22" i="46"/>
  <c r="O17" i="46"/>
  <c r="O21" i="46"/>
  <c r="L24" i="46"/>
  <c r="O6" i="46"/>
  <c r="Q13" i="5"/>
  <c r="W14" i="3" s="1"/>
  <c r="Q14" i="5"/>
  <c r="W15" i="3" s="1"/>
  <c r="Q23" i="5"/>
  <c r="W24" i="3" s="1"/>
  <c r="H28" i="22"/>
  <c r="I8" i="22"/>
  <c r="J13" i="22"/>
  <c r="J9" i="22"/>
  <c r="J21" i="22"/>
  <c r="J17" i="22"/>
  <c r="J14" i="22"/>
  <c r="X9" i="3"/>
  <c r="J8" i="8"/>
  <c r="M9" i="4"/>
  <c r="N9" i="4" s="1"/>
  <c r="E28" i="13"/>
  <c r="F8" i="13"/>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9" i="8"/>
  <c r="K9" i="8" s="1"/>
  <c r="Y10" i="3" s="1"/>
  <c r="L14" i="8"/>
  <c r="N14" i="8" s="1"/>
  <c r="J14" i="8"/>
  <c r="K14" i="8" s="1"/>
  <c r="Y15" i="3" s="1"/>
  <c r="J25" i="8"/>
  <c r="K25" i="8" s="1"/>
  <c r="Y26" i="3" s="1"/>
  <c r="L19" i="8"/>
  <c r="N19" i="8" s="1"/>
  <c r="J19" i="8"/>
  <c r="K19" i="8" s="1"/>
  <c r="Y20" i="3" s="1"/>
  <c r="L12" i="8"/>
  <c r="N12" i="8" s="1"/>
  <c r="L25" i="8"/>
  <c r="N25" i="8" s="1"/>
  <c r="L8" i="8"/>
  <c r="N8" i="8" s="1"/>
  <c r="J15" i="8"/>
  <c r="K15" i="8" s="1"/>
  <c r="Y16" i="3" s="1"/>
  <c r="L24" i="8"/>
  <c r="N24" i="8" s="1"/>
  <c r="L15" i="8"/>
  <c r="N15" i="8" s="1"/>
  <c r="J11" i="8"/>
  <c r="K11" i="8" s="1"/>
  <c r="Y12" i="3" s="1"/>
  <c r="J27" i="8"/>
  <c r="K27" i="8" s="1"/>
  <c r="Y28" i="3" s="1"/>
  <c r="L17" i="8"/>
  <c r="N17" i="8" s="1"/>
  <c r="J13" i="8"/>
  <c r="K13" i="8" s="1"/>
  <c r="Y14" i="3" s="1"/>
  <c r="L27" i="8"/>
  <c r="N27" i="8" s="1"/>
  <c r="J20" i="8"/>
  <c r="K20" i="8" s="1"/>
  <c r="Y21" i="3" s="1"/>
  <c r="J12" i="8"/>
  <c r="K12" i="8" s="1"/>
  <c r="Y13" i="3" s="1"/>
  <c r="J24" i="8"/>
  <c r="K24" i="8" s="1"/>
  <c r="Y25" i="3" s="1"/>
  <c r="L10" i="8"/>
  <c r="N10" i="8" s="1"/>
  <c r="L18" i="8"/>
  <c r="N18" i="8" s="1"/>
  <c r="J10" i="8"/>
  <c r="K10" i="8" s="1"/>
  <c r="Y11" i="3" s="1"/>
  <c r="L16" i="8"/>
  <c r="N16" i="8" s="1"/>
  <c r="J18" i="8"/>
  <c r="K18" i="8" s="1"/>
  <c r="Y19" i="3" s="1"/>
  <c r="L9" i="8"/>
  <c r="N9" i="8" s="1"/>
  <c r="J21" i="8"/>
  <c r="K21" i="8" s="1"/>
  <c r="Y22" i="3" s="1"/>
  <c r="L21" i="8"/>
  <c r="N21" i="8" s="1"/>
  <c r="J17" i="8"/>
  <c r="K17" i="8" s="1"/>
  <c r="Y18" i="3" s="1"/>
  <c r="J23" i="8"/>
  <c r="K23" i="8" s="1"/>
  <c r="Y24" i="3" s="1"/>
  <c r="L23" i="8"/>
  <c r="N23" i="8" s="1"/>
  <c r="L20" i="8"/>
  <c r="N20" i="8" s="1"/>
  <c r="L11" i="8"/>
  <c r="N11" i="8" s="1"/>
  <c r="J26" i="8"/>
  <c r="K26" i="8" s="1"/>
  <c r="Y27" i="3" s="1"/>
  <c r="L26" i="8"/>
  <c r="N26" i="8" s="1"/>
  <c r="J16" i="8"/>
  <c r="K16" i="8" s="1"/>
  <c r="Y17" i="3" s="1"/>
  <c r="J22" i="8"/>
  <c r="K22" i="8" s="1"/>
  <c r="Y23" i="3" s="1"/>
  <c r="L13" i="8"/>
  <c r="N13" i="8" s="1"/>
  <c r="L22" i="8"/>
  <c r="N22" i="8" s="1"/>
  <c r="J44" i="5"/>
  <c r="I59" i="5"/>
  <c r="J40" i="5"/>
  <c r="P28" i="5" l="1"/>
  <c r="P28" i="65"/>
  <c r="Q28" i="65" s="1"/>
  <c r="T28" i="65" s="1"/>
  <c r="P19" i="65"/>
  <c r="R19" i="65" s="1"/>
  <c r="S19" i="65" s="1"/>
  <c r="AM19" i="3" s="1"/>
  <c r="P27" i="65"/>
  <c r="Q27" i="65" s="1"/>
  <c r="T27" i="65" s="1"/>
  <c r="P25" i="65"/>
  <c r="P11" i="65"/>
  <c r="P16" i="65"/>
  <c r="P21" i="65"/>
  <c r="P23" i="65"/>
  <c r="P13" i="65"/>
  <c r="P26" i="65"/>
  <c r="P22" i="65"/>
  <c r="P12" i="65"/>
  <c r="P17" i="65"/>
  <c r="P14" i="65"/>
  <c r="P18" i="65"/>
  <c r="P15" i="65"/>
  <c r="P24" i="65"/>
  <c r="Q9" i="65"/>
  <c r="R9" i="65"/>
  <c r="S9" i="65" s="1"/>
  <c r="P10" i="65"/>
  <c r="P20" i="65"/>
  <c r="K14" i="22"/>
  <c r="L14" i="22" s="1"/>
  <c r="AA15" i="3" s="1"/>
  <c r="B13" i="35"/>
  <c r="J19" i="35"/>
  <c r="H19" i="35"/>
  <c r="N19" i="35"/>
  <c r="L19" i="35"/>
  <c r="I19" i="35"/>
  <c r="D19" i="35"/>
  <c r="G19" i="35"/>
  <c r="F19" i="35"/>
  <c r="M19" i="35"/>
  <c r="E19" i="35"/>
  <c r="K19" i="35"/>
  <c r="C19" i="35"/>
  <c r="N23" i="35"/>
  <c r="J23" i="35"/>
  <c r="H23" i="35"/>
  <c r="I23" i="35"/>
  <c r="G23" i="35"/>
  <c r="E23" i="35"/>
  <c r="L23" i="35"/>
  <c r="D23" i="35"/>
  <c r="M23" i="35"/>
  <c r="K23" i="35"/>
  <c r="F23" i="35"/>
  <c r="C23" i="35"/>
  <c r="K17" i="22"/>
  <c r="L17" i="22" s="1"/>
  <c r="AA18" i="3" s="1"/>
  <c r="B16" i="35"/>
  <c r="H9" i="35"/>
  <c r="J9" i="35"/>
  <c r="N9" i="35"/>
  <c r="E9" i="35"/>
  <c r="F9" i="35"/>
  <c r="D9" i="35"/>
  <c r="M9" i="35"/>
  <c r="C9" i="35"/>
  <c r="I9" i="35"/>
  <c r="G9" i="35"/>
  <c r="K9" i="35"/>
  <c r="L9" i="35"/>
  <c r="N10" i="35"/>
  <c r="J10" i="35"/>
  <c r="H10" i="35"/>
  <c r="I10" i="35"/>
  <c r="L10" i="35"/>
  <c r="M10" i="35"/>
  <c r="C10" i="35"/>
  <c r="F10" i="35"/>
  <c r="D10" i="35"/>
  <c r="G10" i="35"/>
  <c r="E10" i="35"/>
  <c r="K10" i="35"/>
  <c r="H21" i="35"/>
  <c r="J21" i="35"/>
  <c r="N21" i="35"/>
  <c r="C21" i="35"/>
  <c r="E21" i="35"/>
  <c r="D21" i="35"/>
  <c r="G21" i="35"/>
  <c r="K21" i="35"/>
  <c r="L21" i="35"/>
  <c r="I21" i="35"/>
  <c r="F21" i="35"/>
  <c r="M21" i="35"/>
  <c r="K21" i="22"/>
  <c r="L21" i="22" s="1"/>
  <c r="AA22" i="3" s="1"/>
  <c r="B20" i="35"/>
  <c r="N18" i="35"/>
  <c r="J18" i="35"/>
  <c r="H18" i="35"/>
  <c r="F18" i="35"/>
  <c r="D18" i="35"/>
  <c r="G18" i="35"/>
  <c r="C18" i="35"/>
  <c r="L18" i="35"/>
  <c r="K18" i="35"/>
  <c r="M18" i="35"/>
  <c r="I18" i="35"/>
  <c r="E18" i="35"/>
  <c r="J22" i="35"/>
  <c r="H22" i="35"/>
  <c r="N22" i="35"/>
  <c r="E22" i="35"/>
  <c r="K22" i="35"/>
  <c r="C22" i="35"/>
  <c r="D22" i="35"/>
  <c r="M22" i="35"/>
  <c r="I22" i="35"/>
  <c r="G22" i="35"/>
  <c r="L22" i="35"/>
  <c r="F22" i="35"/>
  <c r="J14" i="35"/>
  <c r="H14" i="35"/>
  <c r="N14" i="35"/>
  <c r="D14" i="35"/>
  <c r="M14" i="35"/>
  <c r="L14" i="35"/>
  <c r="I14" i="35"/>
  <c r="G14" i="35"/>
  <c r="E14" i="35"/>
  <c r="F14" i="35"/>
  <c r="K14" i="35"/>
  <c r="C14" i="35"/>
  <c r="H15" i="35"/>
  <c r="N15" i="35"/>
  <c r="J15" i="35"/>
  <c r="E15" i="35"/>
  <c r="C15" i="35"/>
  <c r="K15" i="35"/>
  <c r="F15" i="35"/>
  <c r="M15" i="35"/>
  <c r="I15" i="35"/>
  <c r="G15" i="35"/>
  <c r="L15" i="35"/>
  <c r="D15" i="35"/>
  <c r="J26" i="35"/>
  <c r="N26" i="35"/>
  <c r="H26" i="35"/>
  <c r="M26" i="35"/>
  <c r="L26" i="35"/>
  <c r="F26" i="35"/>
  <c r="I26" i="35"/>
  <c r="D26" i="35"/>
  <c r="G26" i="35"/>
  <c r="E26" i="35"/>
  <c r="K26" i="35"/>
  <c r="C26" i="35"/>
  <c r="H11" i="35"/>
  <c r="J11" i="35"/>
  <c r="N11" i="35"/>
  <c r="K11" i="35"/>
  <c r="I11" i="35"/>
  <c r="E11" i="35"/>
  <c r="D11" i="35"/>
  <c r="M11" i="35"/>
  <c r="G11" i="35"/>
  <c r="L11" i="35"/>
  <c r="C11" i="35"/>
  <c r="F11" i="35"/>
  <c r="H17" i="35"/>
  <c r="J17" i="35"/>
  <c r="N17" i="35"/>
  <c r="M17" i="35"/>
  <c r="K17" i="35"/>
  <c r="F17" i="35"/>
  <c r="E17" i="35"/>
  <c r="D17" i="35"/>
  <c r="I17" i="35"/>
  <c r="C17" i="35"/>
  <c r="L17" i="35"/>
  <c r="G17" i="35"/>
  <c r="K13" i="22"/>
  <c r="L13" i="22" s="1"/>
  <c r="AA14" i="3" s="1"/>
  <c r="B12" i="35"/>
  <c r="N25" i="35"/>
  <c r="J25" i="35"/>
  <c r="H25" i="35"/>
  <c r="L25" i="35"/>
  <c r="K25" i="35"/>
  <c r="G25" i="35"/>
  <c r="F25" i="35"/>
  <c r="I25" i="35"/>
  <c r="M25" i="35"/>
  <c r="D25" i="35"/>
  <c r="C25" i="35"/>
  <c r="E25" i="35"/>
  <c r="H24" i="35"/>
  <c r="J24" i="35"/>
  <c r="N24" i="35"/>
  <c r="D24" i="35"/>
  <c r="I24" i="35"/>
  <c r="E24" i="35"/>
  <c r="K24" i="35"/>
  <c r="C24" i="35"/>
  <c r="M24" i="35"/>
  <c r="G24" i="35"/>
  <c r="L24" i="35"/>
  <c r="F24" i="35"/>
  <c r="K9" i="22"/>
  <c r="L9" i="22" s="1"/>
  <c r="AA10" i="3" s="1"/>
  <c r="B8" i="35"/>
  <c r="J11" i="38"/>
  <c r="M11" i="38"/>
  <c r="N11" i="38"/>
  <c r="H11" i="38"/>
  <c r="C11" i="38"/>
  <c r="K11" i="38"/>
  <c r="D11" i="38"/>
  <c r="L11" i="38"/>
  <c r="I11" i="38"/>
  <c r="F11" i="38"/>
  <c r="E11" i="38"/>
  <c r="G11" i="38"/>
  <c r="C22" i="38"/>
  <c r="K22" i="38"/>
  <c r="H22" i="38"/>
  <c r="I22" i="38"/>
  <c r="G22" i="38"/>
  <c r="D22" i="38"/>
  <c r="L22" i="38"/>
  <c r="F22" i="38"/>
  <c r="E22" i="38"/>
  <c r="N22" i="38"/>
  <c r="J22" i="38"/>
  <c r="M22" i="38"/>
  <c r="F12" i="38"/>
  <c r="N12" i="38"/>
  <c r="E12" i="38"/>
  <c r="H12" i="38"/>
  <c r="C12" i="38"/>
  <c r="K12" i="38"/>
  <c r="I12" i="38"/>
  <c r="J12" i="38"/>
  <c r="G12" i="38"/>
  <c r="D12" i="38"/>
  <c r="L12" i="38"/>
  <c r="M12" i="38"/>
  <c r="O24" i="46"/>
  <c r="F9" i="38"/>
  <c r="N9" i="38"/>
  <c r="I9" i="38"/>
  <c r="H9" i="38"/>
  <c r="G9" i="38"/>
  <c r="J9" i="38"/>
  <c r="E9" i="38"/>
  <c r="C9" i="38"/>
  <c r="K9" i="38"/>
  <c r="D9" i="38"/>
  <c r="L9" i="38"/>
  <c r="M9" i="38"/>
  <c r="H16" i="38"/>
  <c r="E16" i="38"/>
  <c r="C16" i="38"/>
  <c r="K16" i="38"/>
  <c r="D16" i="38"/>
  <c r="L16" i="38"/>
  <c r="J16" i="38"/>
  <c r="M16" i="38"/>
  <c r="F16" i="38"/>
  <c r="N16" i="38"/>
  <c r="G16" i="38"/>
  <c r="I16" i="38"/>
  <c r="F18" i="38"/>
  <c r="J18" i="38"/>
  <c r="H18" i="38"/>
  <c r="D18" i="38"/>
  <c r="L18" i="38"/>
  <c r="N18" i="38"/>
  <c r="C18" i="38"/>
  <c r="K18" i="38"/>
  <c r="E18" i="38"/>
  <c r="M18" i="38"/>
  <c r="G18" i="38"/>
  <c r="I18" i="38"/>
  <c r="J10" i="38"/>
  <c r="N10" i="38"/>
  <c r="C10" i="38"/>
  <c r="K10" i="38"/>
  <c r="D10" i="38"/>
  <c r="L10" i="38"/>
  <c r="F10" i="38"/>
  <c r="H10" i="38"/>
  <c r="I10" i="38"/>
  <c r="G10" i="38"/>
  <c r="M10" i="38"/>
  <c r="E10" i="38"/>
  <c r="J14" i="38"/>
  <c r="E14" i="38"/>
  <c r="M14" i="38"/>
  <c r="G14" i="38"/>
  <c r="C14" i="38"/>
  <c r="K14" i="38"/>
  <c r="N14" i="38"/>
  <c r="F14" i="38"/>
  <c r="H14" i="38"/>
  <c r="I14" i="38"/>
  <c r="D14" i="38"/>
  <c r="L14" i="38"/>
  <c r="I19" i="38"/>
  <c r="J19" i="38"/>
  <c r="C19" i="38"/>
  <c r="K19" i="38"/>
  <c r="D19" i="38"/>
  <c r="L19" i="38"/>
  <c r="M19" i="38"/>
  <c r="N19" i="38"/>
  <c r="F19" i="38"/>
  <c r="E19" i="38"/>
  <c r="H19" i="38"/>
  <c r="G19" i="38"/>
  <c r="E15" i="38"/>
  <c r="H15" i="38"/>
  <c r="C15" i="38"/>
  <c r="K15" i="38"/>
  <c r="D15" i="38"/>
  <c r="L15" i="38"/>
  <c r="I15" i="38"/>
  <c r="M15" i="38"/>
  <c r="J15" i="38"/>
  <c r="G15" i="38"/>
  <c r="N15" i="38"/>
  <c r="F15" i="38"/>
  <c r="E24" i="38"/>
  <c r="D24" i="38"/>
  <c r="L24" i="38"/>
  <c r="H24" i="38"/>
  <c r="M24" i="38"/>
  <c r="F24" i="38"/>
  <c r="N24" i="38"/>
  <c r="C24" i="38"/>
  <c r="K24" i="38"/>
  <c r="J24" i="38"/>
  <c r="G24" i="38"/>
  <c r="I24" i="38"/>
  <c r="F23" i="38"/>
  <c r="N23" i="38"/>
  <c r="G23" i="38"/>
  <c r="M23" i="38"/>
  <c r="J23" i="38"/>
  <c r="I23" i="38"/>
  <c r="H23" i="38"/>
  <c r="E23" i="38"/>
  <c r="C23" i="38"/>
  <c r="K23" i="38"/>
  <c r="D23" i="38"/>
  <c r="L23" i="38"/>
  <c r="F25" i="38"/>
  <c r="N25" i="38"/>
  <c r="I25" i="38"/>
  <c r="H25" i="38"/>
  <c r="C25" i="38"/>
  <c r="K25" i="38"/>
  <c r="D25" i="38"/>
  <c r="L25" i="38"/>
  <c r="G25" i="38"/>
  <c r="J25" i="38"/>
  <c r="E25" i="38"/>
  <c r="M25" i="38"/>
  <c r="O24" i="57"/>
  <c r="O7" i="38"/>
  <c r="J17" i="38"/>
  <c r="E17" i="38"/>
  <c r="M17" i="38"/>
  <c r="C17" i="38"/>
  <c r="K17" i="38"/>
  <c r="D17" i="38"/>
  <c r="L17" i="38"/>
  <c r="G17" i="38"/>
  <c r="F17" i="38"/>
  <c r="N17" i="38"/>
  <c r="H17" i="38"/>
  <c r="I17" i="38"/>
  <c r="C13" i="38"/>
  <c r="K13" i="38"/>
  <c r="D13" i="38"/>
  <c r="L13" i="38"/>
  <c r="J13" i="38"/>
  <c r="H13" i="38"/>
  <c r="G13" i="38"/>
  <c r="F13" i="38"/>
  <c r="N13" i="38"/>
  <c r="I13" i="38"/>
  <c r="E13" i="38"/>
  <c r="M13" i="38"/>
  <c r="I20" i="38"/>
  <c r="J20" i="38"/>
  <c r="G20" i="38"/>
  <c r="E20" i="38"/>
  <c r="H20" i="38"/>
  <c r="D20" i="38"/>
  <c r="L20" i="38"/>
  <c r="F20" i="38"/>
  <c r="N20" i="38"/>
  <c r="C20" i="38"/>
  <c r="K20" i="38"/>
  <c r="M20" i="38"/>
  <c r="C21" i="38"/>
  <c r="K21" i="38"/>
  <c r="D21" i="38"/>
  <c r="L21" i="38"/>
  <c r="G21" i="38"/>
  <c r="F21" i="38"/>
  <c r="N21" i="38"/>
  <c r="J21" i="38"/>
  <c r="E21" i="38"/>
  <c r="M21" i="38"/>
  <c r="H21" i="38"/>
  <c r="I21" i="38"/>
  <c r="F8" i="38"/>
  <c r="N8" i="38"/>
  <c r="E8" i="38"/>
  <c r="C8" i="38"/>
  <c r="K8" i="38"/>
  <c r="D8" i="38"/>
  <c r="L8" i="38"/>
  <c r="H8" i="38"/>
  <c r="M8" i="38"/>
  <c r="J8" i="38"/>
  <c r="G8" i="38"/>
  <c r="I8" i="38"/>
  <c r="N26" i="38"/>
  <c r="D26" i="38"/>
  <c r="L26" i="38"/>
  <c r="G26" i="38"/>
  <c r="F26" i="38"/>
  <c r="J26" i="38"/>
  <c r="C26" i="38"/>
  <c r="K26" i="38"/>
  <c r="H26" i="38"/>
  <c r="I26" i="38"/>
  <c r="M26" i="38"/>
  <c r="E26" i="38"/>
  <c r="B27" i="38"/>
  <c r="Q28" i="5"/>
  <c r="I28" i="22"/>
  <c r="J28" i="22" s="1"/>
  <c r="J8" i="22"/>
  <c r="O28" i="4"/>
  <c r="P28" i="4"/>
  <c r="Q17" i="4" s="1"/>
  <c r="M28" i="4"/>
  <c r="N28" i="4" s="1"/>
  <c r="N28" i="8"/>
  <c r="L28" i="8"/>
  <c r="Q19" i="65" l="1"/>
  <c r="T19" i="65" s="1"/>
  <c r="AL19" i="3" s="1"/>
  <c r="R28" i="65"/>
  <c r="S28" i="65" s="1"/>
  <c r="AM28" i="3" s="1"/>
  <c r="R27" i="65"/>
  <c r="S27" i="65" s="1"/>
  <c r="AM27" i="3" s="1"/>
  <c r="R10" i="65"/>
  <c r="S10" i="65" s="1"/>
  <c r="AM10" i="3" s="1"/>
  <c r="Q10" i="65"/>
  <c r="T10" i="65" s="1"/>
  <c r="Q24" i="65"/>
  <c r="T24" i="65" s="1"/>
  <c r="R24" i="65"/>
  <c r="S24" i="65" s="1"/>
  <c r="AM24" i="3" s="1"/>
  <c r="R17" i="65"/>
  <c r="S17" i="65" s="1"/>
  <c r="AM17" i="3" s="1"/>
  <c r="Q17" i="65"/>
  <c r="T17" i="65" s="1"/>
  <c r="Q13" i="65"/>
  <c r="T13" i="65" s="1"/>
  <c r="R13" i="65"/>
  <c r="S13" i="65" s="1"/>
  <c r="AM13" i="3" s="1"/>
  <c r="Q11" i="65"/>
  <c r="T11" i="65" s="1"/>
  <c r="R11" i="65"/>
  <c r="S11" i="65" s="1"/>
  <c r="AM11" i="3" s="1"/>
  <c r="P29" i="65"/>
  <c r="Q15" i="65"/>
  <c r="T15" i="65" s="1"/>
  <c r="R15" i="65"/>
  <c r="S15" i="65" s="1"/>
  <c r="AM15" i="3" s="1"/>
  <c r="Q12" i="65"/>
  <c r="T12" i="65" s="1"/>
  <c r="R12" i="65"/>
  <c r="S12" i="65" s="1"/>
  <c r="AM12" i="3" s="1"/>
  <c r="Q23" i="65"/>
  <c r="T23" i="65" s="1"/>
  <c r="R23" i="65"/>
  <c r="S23" i="65" s="1"/>
  <c r="AM23" i="3" s="1"/>
  <c r="R25" i="65"/>
  <c r="S25" i="65" s="1"/>
  <c r="AM25" i="3" s="1"/>
  <c r="Q25" i="65"/>
  <c r="T25" i="65" s="1"/>
  <c r="AM9" i="3"/>
  <c r="Q18" i="65"/>
  <c r="T18" i="65" s="1"/>
  <c r="R18" i="65"/>
  <c r="S18" i="65" s="1"/>
  <c r="AM18" i="3" s="1"/>
  <c r="Q22" i="65"/>
  <c r="T22" i="65" s="1"/>
  <c r="R22" i="65"/>
  <c r="S22" i="65" s="1"/>
  <c r="AM22" i="3" s="1"/>
  <c r="Q21" i="65"/>
  <c r="T21" i="65" s="1"/>
  <c r="R21" i="65"/>
  <c r="S21" i="65" s="1"/>
  <c r="AM21" i="3" s="1"/>
  <c r="B22" i="68"/>
  <c r="AL27" i="3"/>
  <c r="R20" i="65"/>
  <c r="S20" i="65" s="1"/>
  <c r="AM20" i="3" s="1"/>
  <c r="Q20" i="65"/>
  <c r="T20" i="65" s="1"/>
  <c r="T9" i="65"/>
  <c r="AL28" i="3"/>
  <c r="B23" i="68"/>
  <c r="R14" i="65"/>
  <c r="S14" i="65" s="1"/>
  <c r="AM14" i="3" s="1"/>
  <c r="Q14" i="65"/>
  <c r="T14" i="65" s="1"/>
  <c r="Q26" i="65"/>
  <c r="T26" i="65" s="1"/>
  <c r="R26" i="65"/>
  <c r="S26" i="65" s="1"/>
  <c r="AM26" i="3" s="1"/>
  <c r="Q16" i="65"/>
  <c r="T16" i="65" s="1"/>
  <c r="R16" i="65"/>
  <c r="S16" i="65" s="1"/>
  <c r="AM16" i="3" s="1"/>
  <c r="O25" i="35"/>
  <c r="O22" i="34"/>
  <c r="O12" i="34"/>
  <c r="O15" i="35"/>
  <c r="O21" i="34"/>
  <c r="O24" i="35"/>
  <c r="J12" i="35"/>
  <c r="N12" i="35"/>
  <c r="H12" i="35"/>
  <c r="G12" i="35"/>
  <c r="F12" i="35"/>
  <c r="M12" i="35"/>
  <c r="K12" i="35"/>
  <c r="C12" i="35"/>
  <c r="D12" i="35"/>
  <c r="E12" i="35"/>
  <c r="I12" i="35"/>
  <c r="L12" i="35"/>
  <c r="O14" i="34"/>
  <c r="O17" i="35"/>
  <c r="O19" i="34"/>
  <c r="O22" i="35"/>
  <c r="O18" i="34"/>
  <c r="O21" i="35"/>
  <c r="O6" i="34"/>
  <c r="O9" i="35"/>
  <c r="H16" i="35"/>
  <c r="J16" i="35"/>
  <c r="N16" i="35"/>
  <c r="M16" i="35"/>
  <c r="I16" i="35"/>
  <c r="E16" i="35"/>
  <c r="C16" i="35"/>
  <c r="D16" i="35"/>
  <c r="F16" i="35"/>
  <c r="G16" i="35"/>
  <c r="K16" i="35"/>
  <c r="L16" i="35"/>
  <c r="O10" i="35"/>
  <c r="O7" i="34"/>
  <c r="H8" i="35"/>
  <c r="J8" i="35"/>
  <c r="N8" i="35"/>
  <c r="D8" i="35"/>
  <c r="M8" i="35"/>
  <c r="I8" i="35"/>
  <c r="G8" i="35"/>
  <c r="E8" i="35"/>
  <c r="K8" i="35"/>
  <c r="C8" i="35"/>
  <c r="L8" i="35"/>
  <c r="F8" i="35"/>
  <c r="O23" i="34"/>
  <c r="O26" i="35"/>
  <c r="O11" i="34"/>
  <c r="O14" i="35"/>
  <c r="H20" i="35"/>
  <c r="N20" i="35"/>
  <c r="J20" i="35"/>
  <c r="K20" i="35"/>
  <c r="D20" i="35"/>
  <c r="G20" i="35"/>
  <c r="E20" i="35"/>
  <c r="C20" i="35"/>
  <c r="L20" i="35"/>
  <c r="M20" i="35"/>
  <c r="I20" i="35"/>
  <c r="F20" i="35"/>
  <c r="O20" i="34"/>
  <c r="O23" i="35"/>
  <c r="O16" i="34"/>
  <c r="O19" i="35"/>
  <c r="H13" i="35"/>
  <c r="N13" i="35"/>
  <c r="J13" i="35"/>
  <c r="D13" i="35"/>
  <c r="G13" i="35"/>
  <c r="E13" i="35"/>
  <c r="K13" i="35"/>
  <c r="I13" i="35"/>
  <c r="F13" i="35"/>
  <c r="C13" i="35"/>
  <c r="M13" i="35"/>
  <c r="L13" i="35"/>
  <c r="K8" i="22"/>
  <c r="B7" i="35"/>
  <c r="O11" i="35"/>
  <c r="O8" i="34"/>
  <c r="O15" i="34"/>
  <c r="O18" i="35"/>
  <c r="Q23" i="4"/>
  <c r="G23" i="14" s="1"/>
  <c r="Q21" i="4"/>
  <c r="G21" i="13" s="1"/>
  <c r="Q19" i="4"/>
  <c r="G19" i="13" s="1"/>
  <c r="Q10" i="4"/>
  <c r="G10" i="13" s="1"/>
  <c r="Q16" i="4"/>
  <c r="G16" i="14" s="1"/>
  <c r="Q11" i="4"/>
  <c r="G11" i="14" s="1"/>
  <c r="L24" i="37"/>
  <c r="Q26" i="4"/>
  <c r="G26" i="13" s="1"/>
  <c r="Q14" i="4"/>
  <c r="G14" i="14" s="1"/>
  <c r="K24" i="37"/>
  <c r="L27" i="38"/>
  <c r="M27" i="38"/>
  <c r="N27" i="38"/>
  <c r="C27" i="38"/>
  <c r="Q8" i="4"/>
  <c r="G8" i="14" s="1"/>
  <c r="M24" i="37"/>
  <c r="Q13" i="4"/>
  <c r="R13" i="4" s="1"/>
  <c r="O26" i="38"/>
  <c r="N23" i="37"/>
  <c r="E27" i="38"/>
  <c r="O15" i="38"/>
  <c r="N12" i="37"/>
  <c r="G27" i="38"/>
  <c r="K27" i="38"/>
  <c r="N11" i="37"/>
  <c r="O14" i="38"/>
  <c r="G24" i="37"/>
  <c r="N17" i="37"/>
  <c r="O20" i="38"/>
  <c r="F27" i="38"/>
  <c r="N4" i="37"/>
  <c r="J27" i="38"/>
  <c r="N6" i="37"/>
  <c r="O9" i="38"/>
  <c r="O12" i="38"/>
  <c r="N9" i="37"/>
  <c r="H27" i="38"/>
  <c r="N18" i="37"/>
  <c r="O21" i="38"/>
  <c r="O13" i="38"/>
  <c r="N10" i="37"/>
  <c r="E24" i="37"/>
  <c r="N22" i="37"/>
  <c r="O25" i="38"/>
  <c r="N20" i="37"/>
  <c r="O23" i="38"/>
  <c r="I24" i="37"/>
  <c r="O19" i="38"/>
  <c r="N16" i="37"/>
  <c r="N7" i="37"/>
  <c r="O10" i="38"/>
  <c r="N15" i="37"/>
  <c r="O18" i="38"/>
  <c r="N13" i="37"/>
  <c r="O16" i="38"/>
  <c r="I27" i="38"/>
  <c r="C24" i="37"/>
  <c r="N5" i="37"/>
  <c r="O8" i="38"/>
  <c r="O17" i="38"/>
  <c r="N14" i="37"/>
  <c r="D24" i="37"/>
  <c r="O24" i="38"/>
  <c r="N21" i="37"/>
  <c r="F24" i="37"/>
  <c r="J24" i="37"/>
  <c r="H24" i="37"/>
  <c r="D27" i="38"/>
  <c r="N19" i="37"/>
  <c r="O22" i="38"/>
  <c r="O11" i="38"/>
  <c r="N8" i="37"/>
  <c r="Q27" i="4"/>
  <c r="R27" i="4" s="1"/>
  <c r="Q18" i="4"/>
  <c r="R18" i="4" s="1"/>
  <c r="Q22" i="4"/>
  <c r="G22" i="14" s="1"/>
  <c r="Q12" i="4"/>
  <c r="G12" i="14" s="1"/>
  <c r="Q15" i="4"/>
  <c r="G15" i="14" s="1"/>
  <c r="Q25" i="4"/>
  <c r="R25" i="4" s="1"/>
  <c r="Q24" i="4"/>
  <c r="G24" i="14" s="1"/>
  <c r="Q20" i="4"/>
  <c r="G20" i="14" s="1"/>
  <c r="Q9" i="4"/>
  <c r="R9" i="4" s="1"/>
  <c r="G21" i="14"/>
  <c r="G17" i="14"/>
  <c r="G17" i="13"/>
  <c r="R17" i="4"/>
  <c r="R11" i="4"/>
  <c r="B14" i="68" l="1"/>
  <c r="M14" i="68" s="1"/>
  <c r="G10" i="14"/>
  <c r="H10" i="14" s="1"/>
  <c r="L10" i="14" s="1"/>
  <c r="N10" i="14" s="1"/>
  <c r="G11" i="13"/>
  <c r="I11" i="13" s="1"/>
  <c r="J11" i="13" s="1"/>
  <c r="AI12" i="3" s="1"/>
  <c r="R21" i="4"/>
  <c r="AH22" i="3" s="1"/>
  <c r="AL26" i="3"/>
  <c r="B21" i="68"/>
  <c r="B16" i="68"/>
  <c r="AL21" i="3"/>
  <c r="B13" i="68"/>
  <c r="AL18" i="3"/>
  <c r="AL12" i="3"/>
  <c r="B7" i="68"/>
  <c r="AL14" i="3"/>
  <c r="B9" i="68"/>
  <c r="Q29" i="65"/>
  <c r="S29" i="65"/>
  <c r="B8" i="68"/>
  <c r="AL13" i="3"/>
  <c r="AL24" i="3"/>
  <c r="B19" i="68"/>
  <c r="AL16" i="3"/>
  <c r="B11" i="68"/>
  <c r="B4" i="68"/>
  <c r="AL9" i="3"/>
  <c r="T29" i="65"/>
  <c r="H22" i="68"/>
  <c r="L22" i="68"/>
  <c r="D22" i="68"/>
  <c r="F22" i="68"/>
  <c r="E22" i="68"/>
  <c r="J22" i="68"/>
  <c r="M22" i="68"/>
  <c r="C22" i="68"/>
  <c r="I22" i="68"/>
  <c r="K22" i="68"/>
  <c r="N22" i="68"/>
  <c r="G22" i="68"/>
  <c r="B17" i="68"/>
  <c r="AL22" i="3"/>
  <c r="B18" i="68"/>
  <c r="AL23" i="3"/>
  <c r="B10" i="68"/>
  <c r="AL15" i="3"/>
  <c r="B12" i="68"/>
  <c r="AL17" i="3"/>
  <c r="B5" i="68"/>
  <c r="AL10" i="3"/>
  <c r="L23" i="68"/>
  <c r="E23" i="68"/>
  <c r="M23" i="68"/>
  <c r="F23" i="68"/>
  <c r="G23" i="68"/>
  <c r="K23" i="68"/>
  <c r="H23" i="68"/>
  <c r="J23" i="68"/>
  <c r="N23" i="68"/>
  <c r="D23" i="68"/>
  <c r="C23" i="68"/>
  <c r="I23" i="68"/>
  <c r="AL20" i="3"/>
  <c r="B15" i="68"/>
  <c r="B20" i="68"/>
  <c r="AL25" i="3"/>
  <c r="B6" i="68"/>
  <c r="AL11" i="3"/>
  <c r="AM29" i="3"/>
  <c r="L8" i="22"/>
  <c r="AA9" i="3" s="1"/>
  <c r="AA29" i="3" s="1"/>
  <c r="O20" i="35"/>
  <c r="O17" i="34"/>
  <c r="B27" i="35"/>
  <c r="N7" i="35"/>
  <c r="N24" i="34" s="1"/>
  <c r="J7" i="35"/>
  <c r="J24" i="34" s="1"/>
  <c r="H7" i="35"/>
  <c r="H24" i="34" s="1"/>
  <c r="I7" i="35"/>
  <c r="I24" i="34" s="1"/>
  <c r="L7" i="35"/>
  <c r="L24" i="34" s="1"/>
  <c r="D7" i="35"/>
  <c r="D24" i="34" s="1"/>
  <c r="M7" i="35"/>
  <c r="M24" i="34" s="1"/>
  <c r="G7" i="35"/>
  <c r="G24" i="34" s="1"/>
  <c r="C7" i="35"/>
  <c r="K7" i="35"/>
  <c r="K24" i="34" s="1"/>
  <c r="F7" i="35"/>
  <c r="F24" i="34" s="1"/>
  <c r="E7" i="35"/>
  <c r="E24" i="34" s="1"/>
  <c r="O10" i="34"/>
  <c r="O13" i="35"/>
  <c r="O5" i="34"/>
  <c r="O8" i="35"/>
  <c r="O9" i="34"/>
  <c r="O12" i="35"/>
  <c r="O13" i="34"/>
  <c r="O16" i="35"/>
  <c r="R10" i="4"/>
  <c r="S10" i="4" s="1"/>
  <c r="T10" i="4" s="1"/>
  <c r="T11" i="3" s="1"/>
  <c r="R14" i="4"/>
  <c r="AH15" i="3" s="1"/>
  <c r="G14" i="13"/>
  <c r="H14" i="13" s="1"/>
  <c r="G23" i="13"/>
  <c r="H23" i="13" s="1"/>
  <c r="G16" i="13"/>
  <c r="H16" i="13" s="1"/>
  <c r="R16" i="4"/>
  <c r="S16" i="4" s="1"/>
  <c r="T16" i="4" s="1"/>
  <c r="T17" i="3" s="1"/>
  <c r="R23" i="4"/>
  <c r="AF24" i="3" s="1"/>
  <c r="R19" i="4"/>
  <c r="U19" i="4" s="1"/>
  <c r="G19" i="14"/>
  <c r="I19" i="14" s="1"/>
  <c r="J19" i="14" s="1"/>
  <c r="AG20" i="3" s="1"/>
  <c r="G13" i="13"/>
  <c r="I13" i="13" s="1"/>
  <c r="J13" i="13" s="1"/>
  <c r="AI14" i="3" s="1"/>
  <c r="R26" i="4"/>
  <c r="S26" i="4" s="1"/>
  <c r="T26" i="4" s="1"/>
  <c r="T27" i="3" s="1"/>
  <c r="G26" i="14"/>
  <c r="H26" i="14" s="1"/>
  <c r="L26" i="14" s="1"/>
  <c r="N26" i="14" s="1"/>
  <c r="G8" i="13"/>
  <c r="H8" i="13" s="1"/>
  <c r="G18" i="14"/>
  <c r="I18" i="14" s="1"/>
  <c r="J18" i="14" s="1"/>
  <c r="AG19" i="3" s="1"/>
  <c r="R8" i="4"/>
  <c r="U8" i="4" s="1"/>
  <c r="O27" i="38"/>
  <c r="G13" i="14"/>
  <c r="I13" i="14" s="1"/>
  <c r="J13" i="14" s="1"/>
  <c r="AG14" i="3" s="1"/>
  <c r="B24" i="37"/>
  <c r="N24" i="37" s="1"/>
  <c r="G9" i="13"/>
  <c r="H9" i="13" s="1"/>
  <c r="G12" i="13"/>
  <c r="I12" i="13" s="1"/>
  <c r="J12" i="13" s="1"/>
  <c r="AI13" i="3" s="1"/>
  <c r="R20" i="4"/>
  <c r="AH21" i="3" s="1"/>
  <c r="G18" i="13"/>
  <c r="H18" i="13" s="1"/>
  <c r="G27" i="14"/>
  <c r="I27" i="14" s="1"/>
  <c r="J27" i="14" s="1"/>
  <c r="AG28" i="3" s="1"/>
  <c r="G25" i="14"/>
  <c r="I25" i="14" s="1"/>
  <c r="J25" i="14" s="1"/>
  <c r="AG26" i="3" s="1"/>
  <c r="G24" i="13"/>
  <c r="I24" i="13" s="1"/>
  <c r="J24" i="13" s="1"/>
  <c r="AI25" i="3" s="1"/>
  <c r="R22" i="4"/>
  <c r="U22" i="4" s="1"/>
  <c r="G25" i="13"/>
  <c r="H25" i="13" s="1"/>
  <c r="G9" i="14"/>
  <c r="H9" i="14" s="1"/>
  <c r="L9" i="14" s="1"/>
  <c r="N9" i="14" s="1"/>
  <c r="G15" i="13"/>
  <c r="I15" i="13" s="1"/>
  <c r="J15" i="13" s="1"/>
  <c r="AI16" i="3" s="1"/>
  <c r="R12" i="4"/>
  <c r="U12" i="4" s="1"/>
  <c r="G20" i="13"/>
  <c r="I20" i="13" s="1"/>
  <c r="J20" i="13" s="1"/>
  <c r="AI21" i="3" s="1"/>
  <c r="Q28" i="4"/>
  <c r="G27" i="13"/>
  <c r="I27" i="13" s="1"/>
  <c r="J27" i="13" s="1"/>
  <c r="AI28" i="3" s="1"/>
  <c r="R24" i="4"/>
  <c r="AF25" i="3" s="1"/>
  <c r="G22" i="13"/>
  <c r="H22" i="13" s="1"/>
  <c r="R15" i="4"/>
  <c r="U15" i="4" s="1"/>
  <c r="I17" i="13"/>
  <c r="J17" i="13" s="1"/>
  <c r="AI18" i="3" s="1"/>
  <c r="H17" i="13"/>
  <c r="I10" i="13"/>
  <c r="J10" i="13" s="1"/>
  <c r="AI11" i="3" s="1"/>
  <c r="H10" i="13"/>
  <c r="U10" i="4"/>
  <c r="U17" i="4"/>
  <c r="S17" i="4"/>
  <c r="T17" i="4" s="1"/>
  <c r="T18" i="3" s="1"/>
  <c r="AF18" i="3"/>
  <c r="AH18" i="3"/>
  <c r="I14" i="14"/>
  <c r="J14" i="14" s="1"/>
  <c r="AG15" i="3" s="1"/>
  <c r="H14" i="14"/>
  <c r="L14" i="14" s="1"/>
  <c r="N14" i="14" s="1"/>
  <c r="I11" i="14"/>
  <c r="J11" i="14" s="1"/>
  <c r="AG12" i="3" s="1"/>
  <c r="H11" i="14"/>
  <c r="L11" i="14" s="1"/>
  <c r="N11" i="14" s="1"/>
  <c r="I23" i="14"/>
  <c r="J23" i="14" s="1"/>
  <c r="AG24" i="3" s="1"/>
  <c r="H23" i="14"/>
  <c r="L23" i="14" s="1"/>
  <c r="N23" i="14" s="1"/>
  <c r="I22" i="14"/>
  <c r="J22" i="14" s="1"/>
  <c r="AG23" i="3" s="1"/>
  <c r="H22" i="14"/>
  <c r="L22" i="14" s="1"/>
  <c r="N22" i="14" s="1"/>
  <c r="I17" i="14"/>
  <c r="J17" i="14" s="1"/>
  <c r="AG18" i="3" s="1"/>
  <c r="H17" i="14"/>
  <c r="L17" i="14" s="1"/>
  <c r="N17" i="14" s="1"/>
  <c r="I20" i="14"/>
  <c r="J20" i="14" s="1"/>
  <c r="AG21" i="3" s="1"/>
  <c r="H20" i="14"/>
  <c r="L20" i="14" s="1"/>
  <c r="N20" i="14" s="1"/>
  <c r="I12" i="14"/>
  <c r="J12" i="14" s="1"/>
  <c r="AG13" i="3" s="1"/>
  <c r="H12" i="14"/>
  <c r="L12" i="14" s="1"/>
  <c r="N12" i="14" s="1"/>
  <c r="I10" i="14"/>
  <c r="J10" i="14" s="1"/>
  <c r="AG11" i="3" s="1"/>
  <c r="I15" i="14"/>
  <c r="J15" i="14" s="1"/>
  <c r="AG16" i="3" s="1"/>
  <c r="H15" i="14"/>
  <c r="L15" i="14" s="1"/>
  <c r="N15" i="14" s="1"/>
  <c r="U25" i="4"/>
  <c r="S25" i="4"/>
  <c r="T25" i="4" s="1"/>
  <c r="T26" i="3" s="1"/>
  <c r="AF26" i="3"/>
  <c r="AH26" i="3"/>
  <c r="U13" i="4"/>
  <c r="S13" i="4"/>
  <c r="T13" i="4" s="1"/>
  <c r="T14" i="3" s="1"/>
  <c r="AH14" i="3"/>
  <c r="AF14" i="3"/>
  <c r="H26" i="13"/>
  <c r="I26" i="13"/>
  <c r="J26" i="13" s="1"/>
  <c r="AI27" i="3" s="1"/>
  <c r="I19" i="13"/>
  <c r="J19" i="13" s="1"/>
  <c r="AI20" i="3" s="1"/>
  <c r="H19" i="13"/>
  <c r="I21" i="13"/>
  <c r="J21" i="13" s="1"/>
  <c r="AI22" i="3" s="1"/>
  <c r="H21" i="13"/>
  <c r="U18" i="4"/>
  <c r="S18" i="4"/>
  <c r="T18" i="4" s="1"/>
  <c r="T19" i="3" s="1"/>
  <c r="AF19" i="3"/>
  <c r="AH19" i="3"/>
  <c r="U27" i="4"/>
  <c r="S27" i="4"/>
  <c r="T27" i="4" s="1"/>
  <c r="T28" i="3" s="1"/>
  <c r="AF28" i="3"/>
  <c r="AH28" i="3"/>
  <c r="U11" i="4"/>
  <c r="S11" i="4"/>
  <c r="T11" i="4" s="1"/>
  <c r="T12" i="3" s="1"/>
  <c r="AF12" i="3"/>
  <c r="AH12" i="3"/>
  <c r="U9" i="4"/>
  <c r="S9" i="4"/>
  <c r="T9" i="4" s="1"/>
  <c r="T10" i="3" s="1"/>
  <c r="AF10" i="3"/>
  <c r="AH10" i="3"/>
  <c r="I16" i="14"/>
  <c r="J16" i="14" s="1"/>
  <c r="AG17" i="3" s="1"/>
  <c r="H16" i="14"/>
  <c r="L16" i="14" s="1"/>
  <c r="N16" i="14" s="1"/>
  <c r="I8" i="14"/>
  <c r="J8" i="14" s="1"/>
  <c r="H8" i="14"/>
  <c r="L8" i="14" s="1"/>
  <c r="N8" i="14" s="1"/>
  <c r="N28" i="14" s="1"/>
  <c r="I24" i="14"/>
  <c r="J24" i="14" s="1"/>
  <c r="AG25" i="3" s="1"/>
  <c r="H24" i="14"/>
  <c r="L24" i="14" s="1"/>
  <c r="N24" i="14" s="1"/>
  <c r="I21" i="14"/>
  <c r="J21" i="14" s="1"/>
  <c r="AG22" i="3" s="1"/>
  <c r="H21" i="14"/>
  <c r="L21" i="14" s="1"/>
  <c r="N21" i="14" s="1"/>
  <c r="AE29" i="3"/>
  <c r="W29" i="3"/>
  <c r="I29" i="3"/>
  <c r="J25" i="3" s="1"/>
  <c r="K25" i="3" s="1"/>
  <c r="E29" i="3"/>
  <c r="D23" i="3" s="1"/>
  <c r="F23" i="3" s="1"/>
  <c r="G23" i="3" s="1"/>
  <c r="H23" i="3" s="1"/>
  <c r="B29" i="3"/>
  <c r="C28" i="3"/>
  <c r="C27" i="3"/>
  <c r="C26" i="3"/>
  <c r="C25" i="3"/>
  <c r="C24" i="3"/>
  <c r="C23" i="3"/>
  <c r="C22" i="3"/>
  <c r="C21" i="3"/>
  <c r="C20" i="3"/>
  <c r="S14" i="4" l="1"/>
  <c r="T14" i="4" s="1"/>
  <c r="T15" i="3" s="1"/>
  <c r="H11" i="13"/>
  <c r="H14" i="68"/>
  <c r="F14" i="68"/>
  <c r="C14" i="68"/>
  <c r="G14" i="68"/>
  <c r="E14" i="68"/>
  <c r="D14" i="68"/>
  <c r="I14" i="68"/>
  <c r="N14" i="68"/>
  <c r="J14" i="68"/>
  <c r="L14" i="68"/>
  <c r="K14" i="68"/>
  <c r="U21" i="4"/>
  <c r="B17" i="33" s="1"/>
  <c r="AF15" i="3"/>
  <c r="S21" i="4"/>
  <c r="T21" i="4" s="1"/>
  <c r="T22" i="3" s="1"/>
  <c r="U16" i="4"/>
  <c r="B12" i="62" s="1"/>
  <c r="H13" i="13"/>
  <c r="AF22" i="3"/>
  <c r="AH17" i="3"/>
  <c r="S23" i="4"/>
  <c r="T23" i="4" s="1"/>
  <c r="T24" i="3" s="1"/>
  <c r="AH27" i="3"/>
  <c r="E6" i="68"/>
  <c r="N6" i="68"/>
  <c r="M6" i="68"/>
  <c r="D6" i="68"/>
  <c r="K6" i="68"/>
  <c r="H6" i="68"/>
  <c r="F6" i="68"/>
  <c r="G6" i="68"/>
  <c r="I6" i="68"/>
  <c r="L6" i="68"/>
  <c r="J6" i="68"/>
  <c r="C6" i="68"/>
  <c r="K12" i="68"/>
  <c r="G12" i="68"/>
  <c r="J12" i="68"/>
  <c r="I12" i="68"/>
  <c r="E12" i="68"/>
  <c r="N12" i="68"/>
  <c r="M12" i="68"/>
  <c r="H12" i="68"/>
  <c r="C12" i="68"/>
  <c r="F12" i="68"/>
  <c r="L12" i="68"/>
  <c r="D12" i="68"/>
  <c r="K18" i="68"/>
  <c r="H18" i="68"/>
  <c r="J18" i="68"/>
  <c r="C18" i="68"/>
  <c r="N18" i="68"/>
  <c r="G18" i="68"/>
  <c r="E18" i="68"/>
  <c r="F18" i="68"/>
  <c r="M18" i="68"/>
  <c r="I18" i="68"/>
  <c r="D18" i="68"/>
  <c r="L18" i="68"/>
  <c r="AL29" i="3"/>
  <c r="F19" i="68"/>
  <c r="E19" i="68"/>
  <c r="J19" i="68"/>
  <c r="M19" i="68"/>
  <c r="N19" i="68"/>
  <c r="L19" i="68"/>
  <c r="K19" i="68"/>
  <c r="H19" i="68"/>
  <c r="C19" i="68"/>
  <c r="I19" i="68"/>
  <c r="G19" i="68"/>
  <c r="D19" i="68"/>
  <c r="K7" i="68"/>
  <c r="M7" i="68"/>
  <c r="E7" i="68"/>
  <c r="J7" i="68"/>
  <c r="D7" i="68"/>
  <c r="F7" i="68"/>
  <c r="I7" i="68"/>
  <c r="H7" i="68"/>
  <c r="L7" i="68"/>
  <c r="C7" i="68"/>
  <c r="G7" i="68"/>
  <c r="N7" i="68"/>
  <c r="H4" i="68"/>
  <c r="L4" i="68"/>
  <c r="G4" i="68"/>
  <c r="F4" i="68"/>
  <c r="M4" i="68"/>
  <c r="N4" i="68"/>
  <c r="I4" i="68"/>
  <c r="C4" i="68"/>
  <c r="J4" i="68"/>
  <c r="K4" i="68"/>
  <c r="E4" i="68"/>
  <c r="D4" i="68"/>
  <c r="B24" i="68"/>
  <c r="F16" i="68"/>
  <c r="M16" i="68"/>
  <c r="N16" i="68"/>
  <c r="C16" i="68"/>
  <c r="L16" i="68"/>
  <c r="H16" i="68"/>
  <c r="J16" i="68"/>
  <c r="G16" i="68"/>
  <c r="K16" i="68"/>
  <c r="E16" i="68"/>
  <c r="D16" i="68"/>
  <c r="I16" i="68"/>
  <c r="N20" i="68"/>
  <c r="M20" i="68"/>
  <c r="F20" i="68"/>
  <c r="L20" i="68"/>
  <c r="K20" i="68"/>
  <c r="E20" i="68"/>
  <c r="J20" i="68"/>
  <c r="G20" i="68"/>
  <c r="C20" i="68"/>
  <c r="I20" i="68"/>
  <c r="H20" i="68"/>
  <c r="D20" i="68"/>
  <c r="O23" i="68"/>
  <c r="I5" i="68"/>
  <c r="E5" i="68"/>
  <c r="H5" i="68"/>
  <c r="M5" i="68"/>
  <c r="K5" i="68"/>
  <c r="G5" i="68"/>
  <c r="F5" i="68"/>
  <c r="L5" i="68"/>
  <c r="D5" i="68"/>
  <c r="N5" i="68"/>
  <c r="J5" i="68"/>
  <c r="C5" i="68"/>
  <c r="K10" i="68"/>
  <c r="M10" i="68"/>
  <c r="L10" i="68"/>
  <c r="G10" i="68"/>
  <c r="E10" i="68"/>
  <c r="I10" i="68"/>
  <c r="J10" i="68"/>
  <c r="H10" i="68"/>
  <c r="D10" i="68"/>
  <c r="N10" i="68"/>
  <c r="F10" i="68"/>
  <c r="C10" i="68"/>
  <c r="N17" i="68"/>
  <c r="G17" i="68"/>
  <c r="M17" i="68"/>
  <c r="F17" i="68"/>
  <c r="H17" i="68"/>
  <c r="I17" i="68"/>
  <c r="E17" i="68"/>
  <c r="K17" i="68"/>
  <c r="C17" i="68"/>
  <c r="L17" i="68"/>
  <c r="J17" i="68"/>
  <c r="D17" i="68"/>
  <c r="N11" i="68"/>
  <c r="G11" i="68"/>
  <c r="E11" i="68"/>
  <c r="I11" i="68"/>
  <c r="D11" i="68"/>
  <c r="J11" i="68"/>
  <c r="F11" i="68"/>
  <c r="H11" i="68"/>
  <c r="L11" i="68"/>
  <c r="M11" i="68"/>
  <c r="C11" i="68"/>
  <c r="K11" i="68"/>
  <c r="L9" i="68"/>
  <c r="J9" i="68"/>
  <c r="M9" i="68"/>
  <c r="G9" i="68"/>
  <c r="E9" i="68"/>
  <c r="K9" i="68"/>
  <c r="H9" i="68"/>
  <c r="F9" i="68"/>
  <c r="D9" i="68"/>
  <c r="I9" i="68"/>
  <c r="N9" i="68"/>
  <c r="C9" i="68"/>
  <c r="N21" i="68"/>
  <c r="K21" i="68"/>
  <c r="H21" i="68"/>
  <c r="I21" i="68"/>
  <c r="F21" i="68"/>
  <c r="J21" i="68"/>
  <c r="M21" i="68"/>
  <c r="G21" i="68"/>
  <c r="C21" i="68"/>
  <c r="E21" i="68"/>
  <c r="L21" i="68"/>
  <c r="D21" i="68"/>
  <c r="E15" i="68"/>
  <c r="I15" i="68"/>
  <c r="K15" i="68"/>
  <c r="H15" i="68"/>
  <c r="J15" i="68"/>
  <c r="L15" i="68"/>
  <c r="N15" i="68"/>
  <c r="G15" i="68"/>
  <c r="D15" i="68"/>
  <c r="F15" i="68"/>
  <c r="M15" i="68"/>
  <c r="C15" i="68"/>
  <c r="O22" i="68"/>
  <c r="F8" i="68"/>
  <c r="N8" i="68"/>
  <c r="I8" i="68"/>
  <c r="L8" i="68"/>
  <c r="G8" i="68"/>
  <c r="M8" i="68"/>
  <c r="D8" i="68"/>
  <c r="E8" i="68"/>
  <c r="J8" i="68"/>
  <c r="C8" i="68"/>
  <c r="K8" i="68"/>
  <c r="H8" i="68"/>
  <c r="J13" i="68"/>
  <c r="H13" i="68"/>
  <c r="D13" i="68"/>
  <c r="E13" i="68"/>
  <c r="I13" i="68"/>
  <c r="F13" i="68"/>
  <c r="N13" i="68"/>
  <c r="C13" i="68"/>
  <c r="L13" i="68"/>
  <c r="M13" i="68"/>
  <c r="K13" i="68"/>
  <c r="G13" i="68"/>
  <c r="U14" i="4"/>
  <c r="B13" i="51" s="1"/>
  <c r="AF17" i="3"/>
  <c r="H18" i="14"/>
  <c r="L18" i="14" s="1"/>
  <c r="N18" i="14" s="1"/>
  <c r="L28" i="22"/>
  <c r="O7" i="35"/>
  <c r="AH9" i="3"/>
  <c r="I9" i="13"/>
  <c r="J9" i="13" s="1"/>
  <c r="AI10" i="3" s="1"/>
  <c r="AF11" i="3"/>
  <c r="AH11" i="3"/>
  <c r="I23" i="13"/>
  <c r="J23" i="13" s="1"/>
  <c r="AI24" i="3" s="1"/>
  <c r="AF20" i="3"/>
  <c r="AH24" i="3"/>
  <c r="U26" i="4"/>
  <c r="B25" i="51" s="1"/>
  <c r="U23" i="4"/>
  <c r="B22" i="51" s="1"/>
  <c r="AF27" i="3"/>
  <c r="I22" i="13"/>
  <c r="J22" i="13" s="1"/>
  <c r="AI23" i="3" s="1"/>
  <c r="I14" i="13"/>
  <c r="J14" i="13" s="1"/>
  <c r="AI15" i="3" s="1"/>
  <c r="I26" i="14"/>
  <c r="J26" i="14" s="1"/>
  <c r="AG27" i="3" s="1"/>
  <c r="AH20" i="3"/>
  <c r="S19" i="4"/>
  <c r="T19" i="4" s="1"/>
  <c r="T20" i="3" s="1"/>
  <c r="H24" i="13"/>
  <c r="I16" i="13"/>
  <c r="J16" i="13" s="1"/>
  <c r="AI17" i="3" s="1"/>
  <c r="H19" i="14"/>
  <c r="L19" i="14" s="1"/>
  <c r="N19" i="14" s="1"/>
  <c r="S20" i="4"/>
  <c r="T20" i="4" s="1"/>
  <c r="T21" i="3" s="1"/>
  <c r="H13" i="14"/>
  <c r="L13" i="14" s="1"/>
  <c r="N13" i="14" s="1"/>
  <c r="U24" i="4"/>
  <c r="B20" i="62" s="1"/>
  <c r="S22" i="4"/>
  <c r="T22" i="4" s="1"/>
  <c r="T23" i="3" s="1"/>
  <c r="AF21" i="3"/>
  <c r="I8" i="13"/>
  <c r="U20" i="4"/>
  <c r="B19" i="51" s="1"/>
  <c r="AF9" i="3"/>
  <c r="S8" i="4"/>
  <c r="T8" i="4" s="1"/>
  <c r="T9" i="3" s="1"/>
  <c r="H27" i="14"/>
  <c r="L27" i="14" s="1"/>
  <c r="N27" i="14" s="1"/>
  <c r="D21" i="3"/>
  <c r="F21" i="3" s="1"/>
  <c r="G21" i="3" s="1"/>
  <c r="H21" i="3" s="1"/>
  <c r="D25" i="3"/>
  <c r="F25" i="3" s="1"/>
  <c r="G25" i="3" s="1"/>
  <c r="H25" i="3" s="1"/>
  <c r="J28" i="3"/>
  <c r="K28" i="3" s="1"/>
  <c r="L28" i="3" s="1"/>
  <c r="S10" i="3"/>
  <c r="B5" i="33"/>
  <c r="B5" i="62"/>
  <c r="B8" i="51"/>
  <c r="S12" i="3"/>
  <c r="B7" i="33"/>
  <c r="B7" i="62"/>
  <c r="B10" i="51"/>
  <c r="S15" i="3"/>
  <c r="S28" i="3"/>
  <c r="B23" i="33"/>
  <c r="B23" i="62"/>
  <c r="B26" i="51"/>
  <c r="S14" i="3"/>
  <c r="B9" i="33"/>
  <c r="B9" i="62"/>
  <c r="B12" i="51"/>
  <c r="S26" i="3"/>
  <c r="B21" i="33"/>
  <c r="B21" i="62"/>
  <c r="B24" i="51"/>
  <c r="S20" i="3"/>
  <c r="B15" i="33"/>
  <c r="B15" i="62"/>
  <c r="B18" i="51"/>
  <c r="S18" i="3"/>
  <c r="B13" i="33"/>
  <c r="B13" i="62"/>
  <c r="B16" i="51"/>
  <c r="S9" i="3"/>
  <c r="B4" i="62"/>
  <c r="B4" i="33"/>
  <c r="B7" i="51"/>
  <c r="S11" i="3"/>
  <c r="B6" i="33"/>
  <c r="B6" i="62"/>
  <c r="B9" i="51"/>
  <c r="S16" i="3"/>
  <c r="B11" i="33"/>
  <c r="B11" i="62"/>
  <c r="B14" i="51"/>
  <c r="S19" i="3"/>
  <c r="B14" i="33"/>
  <c r="B14" i="62"/>
  <c r="B17" i="51"/>
  <c r="S13" i="3"/>
  <c r="B8" i="33"/>
  <c r="B8" i="62"/>
  <c r="B11" i="51"/>
  <c r="S23" i="3"/>
  <c r="B18" i="33"/>
  <c r="B18" i="62"/>
  <c r="B21" i="51"/>
  <c r="I18" i="13"/>
  <c r="J18" i="13" s="1"/>
  <c r="AI19" i="3" s="1"/>
  <c r="AH13" i="3"/>
  <c r="AH25" i="3"/>
  <c r="S24" i="4"/>
  <c r="T24" i="4" s="1"/>
  <c r="T25" i="3" s="1"/>
  <c r="AH23" i="3"/>
  <c r="R28" i="4"/>
  <c r="U28" i="4" s="1"/>
  <c r="H12" i="13"/>
  <c r="AF13" i="3"/>
  <c r="AF23" i="3"/>
  <c r="H25" i="14"/>
  <c r="L25" i="14" s="1"/>
  <c r="N25" i="14" s="1"/>
  <c r="I9" i="14"/>
  <c r="J9" i="14" s="1"/>
  <c r="AG10" i="3" s="1"/>
  <c r="S12" i="4"/>
  <c r="T12" i="4" s="1"/>
  <c r="T13" i="3" s="1"/>
  <c r="H27" i="13"/>
  <c r="H20" i="13"/>
  <c r="H15" i="13"/>
  <c r="I25" i="13"/>
  <c r="J25" i="13" s="1"/>
  <c r="AI26" i="3" s="1"/>
  <c r="AF16" i="3"/>
  <c r="AH16" i="3"/>
  <c r="S15" i="4"/>
  <c r="T15" i="4" s="1"/>
  <c r="T16" i="3" s="1"/>
  <c r="AG9" i="3"/>
  <c r="J20" i="3"/>
  <c r="K20" i="3" s="1"/>
  <c r="L20" i="3" s="1"/>
  <c r="J21" i="3"/>
  <c r="K21" i="3" s="1"/>
  <c r="N21" i="3" s="1"/>
  <c r="O21" i="3" s="1"/>
  <c r="J24" i="3"/>
  <c r="K24" i="3" s="1"/>
  <c r="L24" i="3" s="1"/>
  <c r="J27" i="3"/>
  <c r="K27" i="3" s="1"/>
  <c r="J22" i="3"/>
  <c r="K22" i="3" s="1"/>
  <c r="L22" i="3" s="1"/>
  <c r="J23" i="3"/>
  <c r="K23" i="3" s="1"/>
  <c r="N23" i="3" s="1"/>
  <c r="O23" i="3" s="1"/>
  <c r="J26" i="3"/>
  <c r="K26" i="3" s="1"/>
  <c r="L26" i="3" s="1"/>
  <c r="D9" i="3"/>
  <c r="D11" i="3"/>
  <c r="F11" i="3" s="1"/>
  <c r="G11" i="3" s="1"/>
  <c r="H11" i="3" s="1"/>
  <c r="D13" i="3"/>
  <c r="F13" i="3" s="1"/>
  <c r="G13" i="3" s="1"/>
  <c r="H13" i="3" s="1"/>
  <c r="D15" i="3"/>
  <c r="F15" i="3" s="1"/>
  <c r="G15" i="3" s="1"/>
  <c r="H15" i="3" s="1"/>
  <c r="D17" i="3"/>
  <c r="F17" i="3" s="1"/>
  <c r="G17" i="3" s="1"/>
  <c r="H17" i="3" s="1"/>
  <c r="D19" i="3"/>
  <c r="F19" i="3" s="1"/>
  <c r="G19" i="3" s="1"/>
  <c r="H19" i="3" s="1"/>
  <c r="D10" i="3"/>
  <c r="F10" i="3" s="1"/>
  <c r="G10" i="3" s="1"/>
  <c r="H10" i="3" s="1"/>
  <c r="D12" i="3"/>
  <c r="F12" i="3" s="1"/>
  <c r="G12" i="3" s="1"/>
  <c r="H12" i="3" s="1"/>
  <c r="D14" i="3"/>
  <c r="F14" i="3" s="1"/>
  <c r="G14" i="3" s="1"/>
  <c r="H14" i="3" s="1"/>
  <c r="D16" i="3"/>
  <c r="F16" i="3" s="1"/>
  <c r="G16" i="3" s="1"/>
  <c r="H16" i="3" s="1"/>
  <c r="D18" i="3"/>
  <c r="F18" i="3" s="1"/>
  <c r="G18" i="3" s="1"/>
  <c r="H18" i="3" s="1"/>
  <c r="D22" i="3"/>
  <c r="F22" i="3" s="1"/>
  <c r="G22" i="3" s="1"/>
  <c r="H22" i="3" s="1"/>
  <c r="D26" i="3"/>
  <c r="F26" i="3" s="1"/>
  <c r="G26" i="3" s="1"/>
  <c r="H26" i="3" s="1"/>
  <c r="J9" i="3"/>
  <c r="J10" i="3"/>
  <c r="K10" i="3" s="1"/>
  <c r="J11" i="3"/>
  <c r="K11" i="3" s="1"/>
  <c r="J12" i="3"/>
  <c r="K12" i="3" s="1"/>
  <c r="J13" i="3"/>
  <c r="K13" i="3" s="1"/>
  <c r="J14" i="3"/>
  <c r="K14" i="3" s="1"/>
  <c r="J15" i="3"/>
  <c r="K15" i="3" s="1"/>
  <c r="J16" i="3"/>
  <c r="K16" i="3" s="1"/>
  <c r="J17" i="3"/>
  <c r="K17" i="3" s="1"/>
  <c r="J18" i="3"/>
  <c r="K18" i="3" s="1"/>
  <c r="J19" i="3"/>
  <c r="K19" i="3" s="1"/>
  <c r="D27" i="3"/>
  <c r="F27" i="3" s="1"/>
  <c r="G27" i="3" s="1"/>
  <c r="H27" i="3" s="1"/>
  <c r="D20" i="3"/>
  <c r="F20" i="3" s="1"/>
  <c r="G20" i="3" s="1"/>
  <c r="H20" i="3" s="1"/>
  <c r="M20" i="3" s="1"/>
  <c r="D24" i="3"/>
  <c r="F24" i="3" s="1"/>
  <c r="G24" i="3" s="1"/>
  <c r="H24" i="3" s="1"/>
  <c r="D28" i="3"/>
  <c r="F28" i="3" s="1"/>
  <c r="G28" i="3" s="1"/>
  <c r="H28" i="3" s="1"/>
  <c r="C29" i="3"/>
  <c r="N25" i="3"/>
  <c r="O25" i="3" s="1"/>
  <c r="N27" i="3"/>
  <c r="O27" i="3" s="1"/>
  <c r="N20" i="3"/>
  <c r="O20" i="3" s="1"/>
  <c r="L21" i="3"/>
  <c r="N22" i="3"/>
  <c r="O22" i="3" s="1"/>
  <c r="L25" i="3"/>
  <c r="L27" i="3"/>
  <c r="B17" i="62" l="1"/>
  <c r="S22" i="3"/>
  <c r="S17" i="3"/>
  <c r="O14" i="68"/>
  <c r="B20" i="51"/>
  <c r="H20" i="51" s="1"/>
  <c r="S24" i="3"/>
  <c r="B15" i="51"/>
  <c r="H15" i="51" s="1"/>
  <c r="B12" i="33"/>
  <c r="E12" i="33" s="1"/>
  <c r="S27" i="3"/>
  <c r="B10" i="62"/>
  <c r="M10" i="62" s="1"/>
  <c r="B10" i="33"/>
  <c r="H10" i="33" s="1"/>
  <c r="O15" i="68"/>
  <c r="O9" i="68"/>
  <c r="O10" i="68"/>
  <c r="O5" i="68"/>
  <c r="O6" i="68"/>
  <c r="O20" i="68"/>
  <c r="O18" i="68"/>
  <c r="O8" i="68"/>
  <c r="O11" i="68"/>
  <c r="O16" i="68"/>
  <c r="O7" i="68"/>
  <c r="O4" i="68"/>
  <c r="O19" i="68"/>
  <c r="O13" i="68"/>
  <c r="O21" i="68"/>
  <c r="O17" i="68"/>
  <c r="O12" i="68"/>
  <c r="C24" i="34"/>
  <c r="O24" i="34" s="1"/>
  <c r="O4" i="34"/>
  <c r="M25" i="3"/>
  <c r="M28" i="3"/>
  <c r="B19" i="33"/>
  <c r="J19" i="33" s="1"/>
  <c r="B22" i="62"/>
  <c r="H22" i="62" s="1"/>
  <c r="B22" i="33"/>
  <c r="K22" i="33" s="1"/>
  <c r="B19" i="62"/>
  <c r="E19" i="62" s="1"/>
  <c r="B23" i="51"/>
  <c r="E23" i="51" s="1"/>
  <c r="B20" i="33"/>
  <c r="D20" i="33" s="1"/>
  <c r="B16" i="33"/>
  <c r="F16" i="33" s="1"/>
  <c r="S25" i="3"/>
  <c r="B16" i="62"/>
  <c r="H16" i="62" s="1"/>
  <c r="S21" i="3"/>
  <c r="N26" i="3"/>
  <c r="O26" i="3" s="1"/>
  <c r="M21" i="3"/>
  <c r="L23" i="3"/>
  <c r="M23" i="3" s="1"/>
  <c r="C21" i="51"/>
  <c r="K21" i="51"/>
  <c r="L21" i="51"/>
  <c r="H21" i="51"/>
  <c r="G21" i="51"/>
  <c r="D21" i="51"/>
  <c r="F21" i="51"/>
  <c r="M21" i="51"/>
  <c r="N21" i="51"/>
  <c r="I21" i="51"/>
  <c r="E21" i="51"/>
  <c r="J21" i="51"/>
  <c r="I11" i="51"/>
  <c r="E11" i="51"/>
  <c r="L11" i="51"/>
  <c r="D11" i="51"/>
  <c r="C11" i="51"/>
  <c r="G11" i="51"/>
  <c r="K11" i="51"/>
  <c r="F11" i="51"/>
  <c r="H11" i="51"/>
  <c r="M11" i="51"/>
  <c r="N11" i="51"/>
  <c r="J11" i="51"/>
  <c r="F17" i="51"/>
  <c r="L17" i="51"/>
  <c r="H17" i="51"/>
  <c r="C17" i="51"/>
  <c r="G17" i="51"/>
  <c r="M17" i="51"/>
  <c r="N17" i="51"/>
  <c r="I17" i="51"/>
  <c r="D17" i="51"/>
  <c r="E17" i="51"/>
  <c r="K17" i="51"/>
  <c r="J17" i="51"/>
  <c r="N14" i="51"/>
  <c r="F14" i="51"/>
  <c r="C14" i="51"/>
  <c r="G14" i="51"/>
  <c r="K14" i="51"/>
  <c r="H14" i="51"/>
  <c r="M14" i="51"/>
  <c r="I14" i="51"/>
  <c r="D14" i="51"/>
  <c r="E14" i="51"/>
  <c r="L14" i="51"/>
  <c r="J14" i="51"/>
  <c r="N22" i="51"/>
  <c r="F22" i="51"/>
  <c r="H22" i="51"/>
  <c r="I22" i="51"/>
  <c r="D22" i="51"/>
  <c r="G22" i="51"/>
  <c r="K22" i="51"/>
  <c r="L22" i="51"/>
  <c r="M22" i="51"/>
  <c r="E22" i="51"/>
  <c r="C22" i="51"/>
  <c r="J22" i="51"/>
  <c r="E19" i="51"/>
  <c r="I19" i="51"/>
  <c r="N19" i="51"/>
  <c r="D19" i="51"/>
  <c r="M19" i="51"/>
  <c r="F19" i="51"/>
  <c r="C19" i="51"/>
  <c r="H19" i="51"/>
  <c r="G19" i="51"/>
  <c r="K19" i="51"/>
  <c r="L19" i="51"/>
  <c r="J19" i="51"/>
  <c r="L20" i="51"/>
  <c r="K20" i="51"/>
  <c r="M20" i="51"/>
  <c r="I20" i="51"/>
  <c r="H9" i="51"/>
  <c r="I9" i="51"/>
  <c r="D9" i="51"/>
  <c r="E9" i="51"/>
  <c r="K9" i="51"/>
  <c r="M9" i="51"/>
  <c r="F9" i="51"/>
  <c r="C9" i="51"/>
  <c r="L9" i="51"/>
  <c r="G9" i="51"/>
  <c r="N9" i="51"/>
  <c r="J9" i="51"/>
  <c r="E7" i="51"/>
  <c r="I7" i="51"/>
  <c r="C7" i="51"/>
  <c r="G7" i="51"/>
  <c r="K7" i="51"/>
  <c r="M7" i="51"/>
  <c r="F7" i="51"/>
  <c r="L7" i="51"/>
  <c r="N7" i="51"/>
  <c r="D7" i="51"/>
  <c r="H7" i="51"/>
  <c r="J7" i="51"/>
  <c r="H16" i="51"/>
  <c r="L16" i="51"/>
  <c r="D16" i="51"/>
  <c r="M16" i="51"/>
  <c r="N16" i="51"/>
  <c r="I16" i="51"/>
  <c r="E16" i="51"/>
  <c r="G16" i="51"/>
  <c r="K16" i="51"/>
  <c r="C16" i="51"/>
  <c r="F16" i="51"/>
  <c r="J16" i="51"/>
  <c r="G25" i="51"/>
  <c r="H25" i="51"/>
  <c r="K25" i="51"/>
  <c r="M25" i="51"/>
  <c r="C25" i="51"/>
  <c r="F25" i="51"/>
  <c r="N25" i="51"/>
  <c r="E25" i="51"/>
  <c r="L25" i="51"/>
  <c r="I25" i="51"/>
  <c r="D25" i="51"/>
  <c r="J25" i="51"/>
  <c r="F18" i="51"/>
  <c r="N18" i="51"/>
  <c r="L18" i="51"/>
  <c r="H18" i="51"/>
  <c r="I18" i="51"/>
  <c r="M18" i="51"/>
  <c r="E18" i="51"/>
  <c r="C18" i="51"/>
  <c r="G18" i="51"/>
  <c r="K18" i="51"/>
  <c r="D18" i="51"/>
  <c r="J18" i="51"/>
  <c r="L24" i="51"/>
  <c r="H24" i="51"/>
  <c r="D24" i="51"/>
  <c r="M24" i="51"/>
  <c r="E24" i="51"/>
  <c r="N24" i="51"/>
  <c r="I24" i="51"/>
  <c r="C24" i="51"/>
  <c r="G24" i="51"/>
  <c r="K24" i="51"/>
  <c r="F24" i="51"/>
  <c r="J24" i="51"/>
  <c r="D12" i="51"/>
  <c r="L12" i="51"/>
  <c r="H12" i="51"/>
  <c r="N12" i="51"/>
  <c r="G12" i="51"/>
  <c r="K12" i="51"/>
  <c r="I12" i="51"/>
  <c r="C12" i="51"/>
  <c r="M12" i="51"/>
  <c r="E12" i="51"/>
  <c r="F12" i="51"/>
  <c r="J12" i="51"/>
  <c r="N26" i="51"/>
  <c r="F26" i="51"/>
  <c r="M26" i="51"/>
  <c r="I26" i="51"/>
  <c r="D26" i="51"/>
  <c r="E26" i="51"/>
  <c r="G26" i="51"/>
  <c r="K26" i="51"/>
  <c r="L26" i="51"/>
  <c r="H26" i="51"/>
  <c r="C26" i="51"/>
  <c r="J26" i="51"/>
  <c r="M13" i="51"/>
  <c r="N13" i="51"/>
  <c r="I13" i="51"/>
  <c r="D13" i="51"/>
  <c r="E13" i="51"/>
  <c r="F13" i="51"/>
  <c r="L13" i="51"/>
  <c r="K13" i="51"/>
  <c r="H13" i="51"/>
  <c r="C13" i="51"/>
  <c r="G13" i="51"/>
  <c r="J13" i="51"/>
  <c r="F10" i="51"/>
  <c r="N10" i="51"/>
  <c r="M10" i="51"/>
  <c r="I10" i="51"/>
  <c r="D10" i="51"/>
  <c r="E10" i="51"/>
  <c r="C10" i="51"/>
  <c r="G10" i="51"/>
  <c r="H10" i="51"/>
  <c r="K10" i="51"/>
  <c r="L10" i="51"/>
  <c r="J10" i="51"/>
  <c r="L8" i="51"/>
  <c r="H8" i="51"/>
  <c r="D8" i="51"/>
  <c r="N8" i="51"/>
  <c r="M8" i="51"/>
  <c r="I8" i="51"/>
  <c r="E8" i="51"/>
  <c r="C8" i="51"/>
  <c r="G8" i="51"/>
  <c r="K8" i="51"/>
  <c r="F8" i="51"/>
  <c r="J8" i="51"/>
  <c r="M18" i="62"/>
  <c r="D18" i="62"/>
  <c r="K18" i="62"/>
  <c r="G18" i="62"/>
  <c r="E18" i="62"/>
  <c r="L18" i="62"/>
  <c r="H18" i="62"/>
  <c r="J18" i="62"/>
  <c r="F18" i="62"/>
  <c r="N18" i="62"/>
  <c r="I18" i="62"/>
  <c r="C18" i="62"/>
  <c r="J8" i="62"/>
  <c r="L8" i="62"/>
  <c r="M8" i="62"/>
  <c r="D8" i="62"/>
  <c r="K8" i="62"/>
  <c r="G8" i="62"/>
  <c r="H8" i="62"/>
  <c r="E8" i="62"/>
  <c r="I8" i="62"/>
  <c r="F8" i="62"/>
  <c r="N8" i="62"/>
  <c r="C8" i="62"/>
  <c r="J14" i="62"/>
  <c r="D14" i="62"/>
  <c r="H14" i="62"/>
  <c r="M14" i="62"/>
  <c r="L14" i="62"/>
  <c r="K14" i="62"/>
  <c r="G14" i="62"/>
  <c r="E14" i="62"/>
  <c r="F14" i="62"/>
  <c r="I14" i="62"/>
  <c r="N14" i="62"/>
  <c r="C14" i="62"/>
  <c r="K11" i="62"/>
  <c r="M11" i="62"/>
  <c r="L11" i="62"/>
  <c r="D11" i="62"/>
  <c r="H11" i="62"/>
  <c r="G11" i="62"/>
  <c r="J11" i="62"/>
  <c r="I11" i="62"/>
  <c r="N11" i="62"/>
  <c r="E11" i="62"/>
  <c r="F11" i="62"/>
  <c r="C11" i="62"/>
  <c r="H17" i="62"/>
  <c r="G17" i="62"/>
  <c r="J17" i="62"/>
  <c r="K17" i="62"/>
  <c r="L17" i="62"/>
  <c r="D17" i="62"/>
  <c r="M17" i="62"/>
  <c r="E17" i="62"/>
  <c r="I17" i="62"/>
  <c r="F17" i="62"/>
  <c r="N17" i="62"/>
  <c r="C17" i="62"/>
  <c r="L20" i="62"/>
  <c r="K20" i="62"/>
  <c r="H20" i="62"/>
  <c r="G20" i="62"/>
  <c r="J20" i="62"/>
  <c r="E20" i="62"/>
  <c r="D20" i="62"/>
  <c r="M20" i="62"/>
  <c r="F20" i="62"/>
  <c r="N20" i="62"/>
  <c r="I20" i="62"/>
  <c r="C20" i="62"/>
  <c r="L6" i="62"/>
  <c r="D6" i="62"/>
  <c r="J6" i="62"/>
  <c r="M6" i="62"/>
  <c r="K6" i="62"/>
  <c r="H6" i="62"/>
  <c r="G6" i="62"/>
  <c r="E6" i="62"/>
  <c r="N6" i="62"/>
  <c r="I6" i="62"/>
  <c r="F6" i="62"/>
  <c r="C6" i="62"/>
  <c r="I4" i="33"/>
  <c r="G4" i="33"/>
  <c r="J4" i="33"/>
  <c r="N4" i="33"/>
  <c r="C4" i="33"/>
  <c r="M4" i="33"/>
  <c r="E4" i="33"/>
  <c r="H4" i="33"/>
  <c r="D4" i="33"/>
  <c r="L4" i="33"/>
  <c r="K4" i="33"/>
  <c r="F4" i="33"/>
  <c r="D13" i="62"/>
  <c r="H13" i="62"/>
  <c r="G13" i="62"/>
  <c r="J13" i="62"/>
  <c r="M13" i="62"/>
  <c r="L13" i="62"/>
  <c r="K13" i="62"/>
  <c r="E13" i="62"/>
  <c r="F13" i="62"/>
  <c r="N13" i="62"/>
  <c r="I13" i="62"/>
  <c r="C13" i="62"/>
  <c r="M15" i="62"/>
  <c r="D15" i="62"/>
  <c r="L15" i="62"/>
  <c r="K15" i="62"/>
  <c r="H15" i="62"/>
  <c r="G15" i="62"/>
  <c r="J15" i="62"/>
  <c r="N15" i="62"/>
  <c r="E15" i="62"/>
  <c r="F15" i="62"/>
  <c r="I15" i="62"/>
  <c r="C15" i="62"/>
  <c r="D21" i="62"/>
  <c r="H21" i="62"/>
  <c r="M21" i="62"/>
  <c r="L21" i="62"/>
  <c r="E21" i="62"/>
  <c r="K21" i="62"/>
  <c r="G21" i="62"/>
  <c r="J21" i="62"/>
  <c r="F21" i="62"/>
  <c r="I21" i="62"/>
  <c r="N21" i="62"/>
  <c r="C21" i="62"/>
  <c r="D9" i="62"/>
  <c r="E9" i="62"/>
  <c r="K9" i="62"/>
  <c r="H9" i="62"/>
  <c r="G9" i="62"/>
  <c r="J9" i="62"/>
  <c r="L9" i="62"/>
  <c r="M9" i="62"/>
  <c r="F9" i="62"/>
  <c r="N9" i="62"/>
  <c r="I9" i="62"/>
  <c r="C9" i="62"/>
  <c r="L23" i="62"/>
  <c r="H23" i="62"/>
  <c r="G23" i="62"/>
  <c r="J23" i="62"/>
  <c r="E23" i="62"/>
  <c r="K23" i="62"/>
  <c r="M23" i="62"/>
  <c r="D23" i="62"/>
  <c r="N23" i="62"/>
  <c r="F23" i="62"/>
  <c r="I23" i="62"/>
  <c r="C23" i="62"/>
  <c r="L7" i="62"/>
  <c r="H7" i="62"/>
  <c r="G7" i="62"/>
  <c r="M7" i="62"/>
  <c r="D7" i="62"/>
  <c r="K7" i="62"/>
  <c r="E7" i="62"/>
  <c r="J7" i="62"/>
  <c r="I7" i="62"/>
  <c r="F7" i="62"/>
  <c r="N7" i="62"/>
  <c r="C7" i="62"/>
  <c r="K5" i="62"/>
  <c r="J5" i="62"/>
  <c r="M5" i="62"/>
  <c r="D5" i="62"/>
  <c r="G5" i="62"/>
  <c r="L5" i="62"/>
  <c r="H5" i="62"/>
  <c r="E5" i="62"/>
  <c r="N5" i="62"/>
  <c r="I5" i="62"/>
  <c r="F5" i="62"/>
  <c r="C5" i="62"/>
  <c r="K18" i="33"/>
  <c r="E18" i="33"/>
  <c r="M18" i="33"/>
  <c r="H18" i="33"/>
  <c r="F18" i="33"/>
  <c r="G18" i="33"/>
  <c r="N18" i="33"/>
  <c r="L18" i="33"/>
  <c r="I18" i="33"/>
  <c r="D18" i="33"/>
  <c r="C18" i="33"/>
  <c r="J18" i="33"/>
  <c r="K8" i="33"/>
  <c r="L8" i="33"/>
  <c r="H8" i="33"/>
  <c r="N8" i="33"/>
  <c r="C8" i="33"/>
  <c r="M8" i="33"/>
  <c r="D8" i="33"/>
  <c r="E8" i="33"/>
  <c r="I8" i="33"/>
  <c r="J8" i="33"/>
  <c r="G8" i="33"/>
  <c r="F8" i="33"/>
  <c r="K14" i="33"/>
  <c r="M14" i="33"/>
  <c r="H14" i="33"/>
  <c r="D14" i="33"/>
  <c r="F14" i="33"/>
  <c r="N14" i="33"/>
  <c r="E14" i="33"/>
  <c r="L14" i="33"/>
  <c r="I14" i="33"/>
  <c r="J14" i="33"/>
  <c r="G14" i="33"/>
  <c r="C14" i="33"/>
  <c r="K11" i="33"/>
  <c r="J11" i="33"/>
  <c r="N11" i="33"/>
  <c r="L11" i="33"/>
  <c r="F11" i="33"/>
  <c r="G11" i="33"/>
  <c r="C11" i="33"/>
  <c r="H11" i="33"/>
  <c r="I11" i="33"/>
  <c r="E11" i="33"/>
  <c r="M11" i="33"/>
  <c r="D11" i="33"/>
  <c r="K17" i="33"/>
  <c r="F17" i="33"/>
  <c r="E17" i="33"/>
  <c r="L17" i="33"/>
  <c r="H17" i="33"/>
  <c r="M17" i="33"/>
  <c r="I17" i="33"/>
  <c r="D17" i="33"/>
  <c r="J17" i="33"/>
  <c r="C17" i="33"/>
  <c r="G17" i="33"/>
  <c r="N17" i="33"/>
  <c r="K6" i="33"/>
  <c r="D6" i="33"/>
  <c r="M6" i="33"/>
  <c r="G6" i="33"/>
  <c r="L6" i="33"/>
  <c r="H6" i="33"/>
  <c r="J6" i="33"/>
  <c r="E6" i="33"/>
  <c r="I6" i="33"/>
  <c r="F6" i="33"/>
  <c r="N6" i="33"/>
  <c r="C6" i="33"/>
  <c r="F4" i="62"/>
  <c r="G4" i="62"/>
  <c r="H4" i="62"/>
  <c r="D4" i="62"/>
  <c r="I4" i="62"/>
  <c r="E4" i="62"/>
  <c r="M4" i="62"/>
  <c r="L4" i="62"/>
  <c r="J4" i="62"/>
  <c r="N4" i="62"/>
  <c r="C4" i="62"/>
  <c r="K4" i="62"/>
  <c r="K13" i="33"/>
  <c r="E13" i="33"/>
  <c r="L13" i="33"/>
  <c r="I13" i="33"/>
  <c r="D13" i="33"/>
  <c r="F13" i="33"/>
  <c r="J13" i="33"/>
  <c r="C13" i="33"/>
  <c r="M13" i="33"/>
  <c r="H13" i="33"/>
  <c r="G13" i="33"/>
  <c r="N13" i="33"/>
  <c r="K12" i="62"/>
  <c r="G12" i="62"/>
  <c r="E12" i="62"/>
  <c r="L12" i="62"/>
  <c r="J12" i="62"/>
  <c r="H12" i="62"/>
  <c r="D12" i="62"/>
  <c r="M12" i="62"/>
  <c r="I12" i="62"/>
  <c r="F12" i="62"/>
  <c r="N12" i="62"/>
  <c r="C12" i="62"/>
  <c r="K15" i="33"/>
  <c r="F15" i="33"/>
  <c r="J15" i="33"/>
  <c r="G15" i="33"/>
  <c r="C15" i="33"/>
  <c r="L15" i="33"/>
  <c r="D15" i="33"/>
  <c r="E15" i="33"/>
  <c r="M15" i="33"/>
  <c r="H15" i="33"/>
  <c r="I15" i="33"/>
  <c r="N15" i="33"/>
  <c r="K21" i="33"/>
  <c r="E21" i="33"/>
  <c r="H21" i="33"/>
  <c r="D21" i="33"/>
  <c r="F21" i="33"/>
  <c r="L21" i="33"/>
  <c r="I21" i="33"/>
  <c r="J21" i="33"/>
  <c r="M21" i="33"/>
  <c r="N21" i="33"/>
  <c r="C21" i="33"/>
  <c r="G21" i="33"/>
  <c r="K9" i="33"/>
  <c r="M9" i="33"/>
  <c r="I9" i="33"/>
  <c r="G9" i="33"/>
  <c r="J9" i="33"/>
  <c r="E9" i="33"/>
  <c r="F9" i="33"/>
  <c r="L9" i="33"/>
  <c r="H9" i="33"/>
  <c r="D9" i="33"/>
  <c r="N9" i="33"/>
  <c r="C9" i="33"/>
  <c r="K23" i="33"/>
  <c r="L23" i="33"/>
  <c r="M23" i="33"/>
  <c r="G23" i="33"/>
  <c r="I23" i="33"/>
  <c r="E23" i="33"/>
  <c r="H23" i="33"/>
  <c r="D23" i="33"/>
  <c r="F23" i="33"/>
  <c r="C23" i="33"/>
  <c r="N23" i="33"/>
  <c r="J23" i="33"/>
  <c r="I10" i="33"/>
  <c r="E10" i="33"/>
  <c r="N10" i="33"/>
  <c r="K7" i="33"/>
  <c r="N7" i="33"/>
  <c r="J7" i="33"/>
  <c r="I7" i="33"/>
  <c r="D7" i="33"/>
  <c r="E7" i="33"/>
  <c r="L7" i="33"/>
  <c r="H7" i="33"/>
  <c r="F7" i="33"/>
  <c r="C7" i="33"/>
  <c r="M7" i="33"/>
  <c r="G7" i="33"/>
  <c r="K5" i="33"/>
  <c r="E5" i="33"/>
  <c r="L5" i="33"/>
  <c r="I5" i="33"/>
  <c r="F5" i="33"/>
  <c r="G5" i="33"/>
  <c r="M5" i="33"/>
  <c r="H5" i="33"/>
  <c r="D5" i="33"/>
  <c r="J5" i="33"/>
  <c r="C5" i="33"/>
  <c r="N5" i="33"/>
  <c r="AH29" i="3"/>
  <c r="T28" i="4"/>
  <c r="J28" i="14"/>
  <c r="AF29" i="3"/>
  <c r="AG29" i="3"/>
  <c r="M22" i="3"/>
  <c r="N28" i="3"/>
  <c r="O28" i="3" s="1"/>
  <c r="M26" i="3"/>
  <c r="M24" i="3"/>
  <c r="N24" i="3"/>
  <c r="O24" i="3" s="1"/>
  <c r="M27" i="3"/>
  <c r="L19" i="3"/>
  <c r="M19" i="3" s="1"/>
  <c r="N19" i="3"/>
  <c r="O19" i="3" s="1"/>
  <c r="L15" i="3"/>
  <c r="M15" i="3" s="1"/>
  <c r="N15" i="3"/>
  <c r="O15" i="3" s="1"/>
  <c r="L11" i="3"/>
  <c r="M11" i="3" s="1"/>
  <c r="N11" i="3"/>
  <c r="O11" i="3" s="1"/>
  <c r="L18" i="3"/>
  <c r="M18" i="3" s="1"/>
  <c r="N18" i="3"/>
  <c r="O18" i="3" s="1"/>
  <c r="L14" i="3"/>
  <c r="M14" i="3" s="1"/>
  <c r="N14" i="3"/>
  <c r="O14" i="3" s="1"/>
  <c r="L10" i="3"/>
  <c r="M10" i="3" s="1"/>
  <c r="N10" i="3"/>
  <c r="O10" i="3" s="1"/>
  <c r="K9" i="3"/>
  <c r="J29" i="3"/>
  <c r="N17" i="3"/>
  <c r="O17" i="3" s="1"/>
  <c r="L17" i="3"/>
  <c r="M17" i="3" s="1"/>
  <c r="N13" i="3"/>
  <c r="O13" i="3" s="1"/>
  <c r="L13" i="3"/>
  <c r="M13" i="3" s="1"/>
  <c r="N16" i="3"/>
  <c r="O16" i="3" s="1"/>
  <c r="L16" i="3"/>
  <c r="M16" i="3" s="1"/>
  <c r="N12" i="3"/>
  <c r="O12" i="3" s="1"/>
  <c r="L12" i="3"/>
  <c r="M12" i="3" s="1"/>
  <c r="F9" i="3"/>
  <c r="G9" i="3" s="1"/>
  <c r="D29" i="3"/>
  <c r="F29" i="3" s="1"/>
  <c r="J20" i="51" l="1"/>
  <c r="C20" i="51"/>
  <c r="C17" i="50" s="1"/>
  <c r="K15" i="51"/>
  <c r="K12" i="50" s="1"/>
  <c r="L10" i="33"/>
  <c r="M10" i="33"/>
  <c r="D10" i="33"/>
  <c r="H22" i="33"/>
  <c r="J22" i="62"/>
  <c r="F10" i="33"/>
  <c r="G10" i="33"/>
  <c r="K10" i="33"/>
  <c r="D15" i="51"/>
  <c r="D12" i="50" s="1"/>
  <c r="E20" i="51"/>
  <c r="F20" i="51"/>
  <c r="F17" i="50" s="1"/>
  <c r="D20" i="51"/>
  <c r="D17" i="50" s="1"/>
  <c r="J10" i="33"/>
  <c r="C10" i="33"/>
  <c r="G19" i="33"/>
  <c r="I15" i="51"/>
  <c r="I12" i="50" s="1"/>
  <c r="N20" i="51"/>
  <c r="N17" i="50" s="1"/>
  <c r="G20" i="51"/>
  <c r="N15" i="51"/>
  <c r="N12" i="50" s="1"/>
  <c r="F15" i="51"/>
  <c r="F12" i="56" s="1"/>
  <c r="E15" i="51"/>
  <c r="E12" i="56" s="1"/>
  <c r="J15" i="51"/>
  <c r="L15" i="51"/>
  <c r="L12" i="50" s="1"/>
  <c r="C15" i="51"/>
  <c r="C12" i="56" s="1"/>
  <c r="G15" i="51"/>
  <c r="G12" i="50" s="1"/>
  <c r="M15" i="51"/>
  <c r="M12" i="50" s="1"/>
  <c r="H10" i="62"/>
  <c r="K10" i="62"/>
  <c r="C10" i="62"/>
  <c r="D19" i="33"/>
  <c r="L19" i="33"/>
  <c r="L12" i="33"/>
  <c r="F19" i="33"/>
  <c r="E19" i="33"/>
  <c r="K19" i="33"/>
  <c r="C19" i="33"/>
  <c r="I19" i="33"/>
  <c r="H19" i="33"/>
  <c r="N19" i="33"/>
  <c r="M19" i="33"/>
  <c r="N16" i="62"/>
  <c r="N12" i="33"/>
  <c r="K12" i="33"/>
  <c r="G12" i="33"/>
  <c r="F12" i="33"/>
  <c r="I12" i="33"/>
  <c r="I19" i="62"/>
  <c r="M12" i="33"/>
  <c r="D12" i="33"/>
  <c r="H12" i="33"/>
  <c r="C12" i="33"/>
  <c r="J12" i="33"/>
  <c r="B27" i="51"/>
  <c r="F10" i="62"/>
  <c r="J10" i="62"/>
  <c r="D10" i="62"/>
  <c r="N10" i="62"/>
  <c r="G10" i="62"/>
  <c r="L10" i="62"/>
  <c r="I10" i="62"/>
  <c r="E10" i="62"/>
  <c r="D22" i="62"/>
  <c r="L19" i="62"/>
  <c r="F19" i="62"/>
  <c r="K19" i="62"/>
  <c r="J19" i="62"/>
  <c r="G19" i="62"/>
  <c r="F22" i="33"/>
  <c r="F22" i="62"/>
  <c r="L22" i="33"/>
  <c r="G20" i="33"/>
  <c r="J20" i="33"/>
  <c r="I22" i="62"/>
  <c r="K22" i="62"/>
  <c r="L22" i="62"/>
  <c r="H20" i="33"/>
  <c r="N22" i="62"/>
  <c r="E22" i="62"/>
  <c r="M22" i="62"/>
  <c r="C22" i="62"/>
  <c r="G22" i="62"/>
  <c r="D23" i="51"/>
  <c r="H23" i="51"/>
  <c r="H27" i="51" s="1"/>
  <c r="K23" i="51"/>
  <c r="K20" i="50" s="1"/>
  <c r="C19" i="62"/>
  <c r="M19" i="62"/>
  <c r="H19" i="62"/>
  <c r="N19" i="62"/>
  <c r="D19" i="62"/>
  <c r="N22" i="33"/>
  <c r="M16" i="33"/>
  <c r="G22" i="33"/>
  <c r="J22" i="33"/>
  <c r="C22" i="33"/>
  <c r="I22" i="33"/>
  <c r="M22" i="33"/>
  <c r="C16" i="33"/>
  <c r="L23" i="51"/>
  <c r="L20" i="50" s="1"/>
  <c r="F23" i="51"/>
  <c r="F20" i="50" s="1"/>
  <c r="D22" i="33"/>
  <c r="E22" i="33"/>
  <c r="J16" i="33"/>
  <c r="B24" i="33"/>
  <c r="N23" i="51"/>
  <c r="I23" i="51"/>
  <c r="I20" i="33"/>
  <c r="E20" i="33"/>
  <c r="K20" i="33"/>
  <c r="N20" i="33"/>
  <c r="L20" i="33"/>
  <c r="C20" i="33"/>
  <c r="F20" i="33"/>
  <c r="M20" i="33"/>
  <c r="J23" i="51"/>
  <c r="J27" i="51" s="1"/>
  <c r="M23" i="51"/>
  <c r="M20" i="56" s="1"/>
  <c r="C23" i="51"/>
  <c r="G23" i="51"/>
  <c r="G20" i="56" s="1"/>
  <c r="H16" i="33"/>
  <c r="D16" i="33"/>
  <c r="K16" i="33"/>
  <c r="G16" i="33"/>
  <c r="N16" i="33"/>
  <c r="L16" i="33"/>
  <c r="I16" i="33"/>
  <c r="E16" i="33"/>
  <c r="S29" i="3"/>
  <c r="G16" i="62"/>
  <c r="E16" i="62"/>
  <c r="I16" i="62"/>
  <c r="K16" i="62"/>
  <c r="D16" i="62"/>
  <c r="B24" i="62"/>
  <c r="F16" i="62"/>
  <c r="M16" i="62"/>
  <c r="L16" i="62"/>
  <c r="C16" i="62"/>
  <c r="J16" i="62"/>
  <c r="O5" i="33"/>
  <c r="O21" i="33"/>
  <c r="O4" i="62"/>
  <c r="O6" i="33"/>
  <c r="O14" i="33"/>
  <c r="O5" i="62"/>
  <c r="O7" i="62"/>
  <c r="O23" i="62"/>
  <c r="O9" i="62"/>
  <c r="O21" i="62"/>
  <c r="O15" i="62"/>
  <c r="O13" i="62"/>
  <c r="O15" i="33"/>
  <c r="O17" i="33"/>
  <c r="F5" i="50"/>
  <c r="F5" i="56"/>
  <c r="E5" i="50"/>
  <c r="E5" i="56"/>
  <c r="D5" i="50"/>
  <c r="D5" i="56"/>
  <c r="L7" i="56"/>
  <c r="L7" i="50"/>
  <c r="C7" i="56"/>
  <c r="C7" i="50"/>
  <c r="O10" i="51"/>
  <c r="M7" i="56"/>
  <c r="M7" i="50"/>
  <c r="G10" i="50"/>
  <c r="G10" i="56"/>
  <c r="L10" i="50"/>
  <c r="L10" i="56"/>
  <c r="I10" i="50"/>
  <c r="I10" i="56"/>
  <c r="C23" i="56"/>
  <c r="C23" i="50"/>
  <c r="O26" i="51"/>
  <c r="G23" i="56"/>
  <c r="G23" i="50"/>
  <c r="M23" i="50"/>
  <c r="M23" i="56"/>
  <c r="F9" i="56"/>
  <c r="F9" i="50"/>
  <c r="I9" i="50"/>
  <c r="I9" i="56"/>
  <c r="H9" i="56"/>
  <c r="H9" i="50"/>
  <c r="F21" i="56"/>
  <c r="F21" i="50"/>
  <c r="I21" i="50"/>
  <c r="I21" i="56"/>
  <c r="D21" i="56"/>
  <c r="D21" i="50"/>
  <c r="D15" i="50"/>
  <c r="D15" i="56"/>
  <c r="E15" i="56"/>
  <c r="E15" i="50"/>
  <c r="L15" i="50"/>
  <c r="L15" i="56"/>
  <c r="D22" i="56"/>
  <c r="D22" i="50"/>
  <c r="N22" i="50"/>
  <c r="N22" i="56"/>
  <c r="K22" i="50"/>
  <c r="K22" i="56"/>
  <c r="M12" i="56"/>
  <c r="H12" i="56"/>
  <c r="H12" i="50"/>
  <c r="F13" i="56"/>
  <c r="F13" i="50"/>
  <c r="E13" i="50"/>
  <c r="E13" i="56"/>
  <c r="D13" i="50"/>
  <c r="D13" i="56"/>
  <c r="H4" i="56"/>
  <c r="H4" i="50"/>
  <c r="F4" i="56"/>
  <c r="F4" i="50"/>
  <c r="C4" i="56"/>
  <c r="C4" i="50"/>
  <c r="O7" i="51"/>
  <c r="J6" i="50"/>
  <c r="J6" i="56"/>
  <c r="C6" i="56"/>
  <c r="C6" i="50"/>
  <c r="O9" i="51"/>
  <c r="E6" i="50"/>
  <c r="E6" i="56"/>
  <c r="J17" i="50"/>
  <c r="J17" i="56"/>
  <c r="M17" i="56"/>
  <c r="M17" i="50"/>
  <c r="J16" i="50"/>
  <c r="J16" i="56"/>
  <c r="H16" i="50"/>
  <c r="H16" i="56"/>
  <c r="D16" i="50"/>
  <c r="D16" i="56"/>
  <c r="J19" i="50"/>
  <c r="J19" i="56"/>
  <c r="L19" i="56"/>
  <c r="L19" i="50"/>
  <c r="I19" i="50"/>
  <c r="I19" i="56"/>
  <c r="J11" i="50"/>
  <c r="J11" i="56"/>
  <c r="I11" i="56"/>
  <c r="I11" i="50"/>
  <c r="G11" i="50"/>
  <c r="G11" i="56"/>
  <c r="J14" i="50"/>
  <c r="J14" i="56"/>
  <c r="I14" i="50"/>
  <c r="I14" i="56"/>
  <c r="C14" i="56"/>
  <c r="C14" i="50"/>
  <c r="O17" i="51"/>
  <c r="J8" i="50"/>
  <c r="J8" i="56"/>
  <c r="F8" i="56"/>
  <c r="F8" i="50"/>
  <c r="D8" i="50"/>
  <c r="D8" i="56"/>
  <c r="J18" i="56"/>
  <c r="J18" i="50"/>
  <c r="M18" i="56"/>
  <c r="M18" i="50"/>
  <c r="H18" i="56"/>
  <c r="H18" i="50"/>
  <c r="O9" i="33"/>
  <c r="O12" i="62"/>
  <c r="O13" i="33"/>
  <c r="O8" i="33"/>
  <c r="O4" i="33"/>
  <c r="K5" i="50"/>
  <c r="K5" i="56"/>
  <c r="I5" i="56"/>
  <c r="I5" i="50"/>
  <c r="H5" i="50"/>
  <c r="H5" i="56"/>
  <c r="K7" i="56"/>
  <c r="K7" i="50"/>
  <c r="E7" i="56"/>
  <c r="E7" i="50"/>
  <c r="N7" i="56"/>
  <c r="N7" i="50"/>
  <c r="C10" i="56"/>
  <c r="C10" i="50"/>
  <c r="O13" i="51"/>
  <c r="F10" i="50"/>
  <c r="F10" i="56"/>
  <c r="N10" i="50"/>
  <c r="N10" i="56"/>
  <c r="H23" i="56"/>
  <c r="H23" i="50"/>
  <c r="E23" i="56"/>
  <c r="E23" i="50"/>
  <c r="F23" i="50"/>
  <c r="F23" i="56"/>
  <c r="E9" i="56"/>
  <c r="E9" i="50"/>
  <c r="K9" i="56"/>
  <c r="K9" i="50"/>
  <c r="L9" i="50"/>
  <c r="L9" i="56"/>
  <c r="K21" i="56"/>
  <c r="K21" i="50"/>
  <c r="N21" i="56"/>
  <c r="N21" i="50"/>
  <c r="H21" i="56"/>
  <c r="H21" i="50"/>
  <c r="K15" i="56"/>
  <c r="K15" i="50"/>
  <c r="M15" i="50"/>
  <c r="M15" i="56"/>
  <c r="N15" i="56"/>
  <c r="N15" i="50"/>
  <c r="I22" i="56"/>
  <c r="I22" i="50"/>
  <c r="F22" i="50"/>
  <c r="F22" i="56"/>
  <c r="H22" i="50"/>
  <c r="H22" i="56"/>
  <c r="C13" i="56"/>
  <c r="C13" i="50"/>
  <c r="O16" i="51"/>
  <c r="I13" i="56"/>
  <c r="I13" i="50"/>
  <c r="L13" i="56"/>
  <c r="L13" i="50"/>
  <c r="D4" i="56"/>
  <c r="D4" i="50"/>
  <c r="M4" i="56"/>
  <c r="M4" i="50"/>
  <c r="I4" i="50"/>
  <c r="I4" i="56"/>
  <c r="N6" i="56"/>
  <c r="N6" i="50"/>
  <c r="F6" i="56"/>
  <c r="F6" i="50"/>
  <c r="D6" i="50"/>
  <c r="D6" i="56"/>
  <c r="E17" i="50"/>
  <c r="E17" i="56"/>
  <c r="F17" i="56"/>
  <c r="L16" i="56"/>
  <c r="L16" i="50"/>
  <c r="C16" i="56"/>
  <c r="C16" i="50"/>
  <c r="O19" i="51"/>
  <c r="N16" i="56"/>
  <c r="N16" i="50"/>
  <c r="C19" i="56"/>
  <c r="C19" i="50"/>
  <c r="O22" i="51"/>
  <c r="K19" i="56"/>
  <c r="K19" i="50"/>
  <c r="H19" i="50"/>
  <c r="H19" i="56"/>
  <c r="L11" i="56"/>
  <c r="L11" i="50"/>
  <c r="M11" i="50"/>
  <c r="M11" i="56"/>
  <c r="C11" i="56"/>
  <c r="C11" i="50"/>
  <c r="O14" i="51"/>
  <c r="K14" i="50"/>
  <c r="K14" i="56"/>
  <c r="N14" i="50"/>
  <c r="N14" i="56"/>
  <c r="H14" i="50"/>
  <c r="H14" i="56"/>
  <c r="N8" i="56"/>
  <c r="N8" i="50"/>
  <c r="K8" i="50"/>
  <c r="K8" i="56"/>
  <c r="L8" i="56"/>
  <c r="L8" i="50"/>
  <c r="E18" i="50"/>
  <c r="E18" i="56"/>
  <c r="F18" i="50"/>
  <c r="F18" i="56"/>
  <c r="L18" i="50"/>
  <c r="L18" i="56"/>
  <c r="G5" i="56"/>
  <c r="G5" i="50"/>
  <c r="M5" i="56"/>
  <c r="M5" i="50"/>
  <c r="L5" i="50"/>
  <c r="L5" i="56"/>
  <c r="H7" i="50"/>
  <c r="H7" i="56"/>
  <c r="D7" i="56"/>
  <c r="D7" i="50"/>
  <c r="F7" i="50"/>
  <c r="F7" i="56"/>
  <c r="H10" i="56"/>
  <c r="H10" i="50"/>
  <c r="E10" i="50"/>
  <c r="E10" i="56"/>
  <c r="M10" i="50"/>
  <c r="M10" i="56"/>
  <c r="L23" i="50"/>
  <c r="L23" i="56"/>
  <c r="D23" i="50"/>
  <c r="D23" i="56"/>
  <c r="N23" i="56"/>
  <c r="N23" i="50"/>
  <c r="M9" i="50"/>
  <c r="M9" i="56"/>
  <c r="G9" i="50"/>
  <c r="G9" i="56"/>
  <c r="D9" i="56"/>
  <c r="D9" i="50"/>
  <c r="G21" i="56"/>
  <c r="G21" i="50"/>
  <c r="E21" i="56"/>
  <c r="E21" i="50"/>
  <c r="L21" i="56"/>
  <c r="L21" i="50"/>
  <c r="G15" i="50"/>
  <c r="G15" i="56"/>
  <c r="I15" i="50"/>
  <c r="I15" i="56"/>
  <c r="F15" i="50"/>
  <c r="F15" i="56"/>
  <c r="L22" i="50"/>
  <c r="L22" i="56"/>
  <c r="C22" i="56"/>
  <c r="C22" i="50"/>
  <c r="O25" i="51"/>
  <c r="G22" i="56"/>
  <c r="G22" i="50"/>
  <c r="K13" i="50"/>
  <c r="K13" i="56"/>
  <c r="N13" i="50"/>
  <c r="N13" i="56"/>
  <c r="H13" i="50"/>
  <c r="H13" i="56"/>
  <c r="N4" i="56"/>
  <c r="N4" i="50"/>
  <c r="K4" i="56"/>
  <c r="K4" i="50"/>
  <c r="E4" i="56"/>
  <c r="E4" i="50"/>
  <c r="G6" i="56"/>
  <c r="G6" i="50"/>
  <c r="M6" i="56"/>
  <c r="M6" i="50"/>
  <c r="I6" i="56"/>
  <c r="I6" i="50"/>
  <c r="I17" i="56"/>
  <c r="I17" i="50"/>
  <c r="K17" i="56"/>
  <c r="K17" i="50"/>
  <c r="L17" i="50"/>
  <c r="L17" i="56"/>
  <c r="K16" i="56"/>
  <c r="K16" i="50"/>
  <c r="F16" i="56"/>
  <c r="F16" i="50"/>
  <c r="I16" i="50"/>
  <c r="I16" i="56"/>
  <c r="E19" i="50"/>
  <c r="E19" i="56"/>
  <c r="G19" i="50"/>
  <c r="G19" i="56"/>
  <c r="F19" i="50"/>
  <c r="F19" i="56"/>
  <c r="E11" i="56"/>
  <c r="E11" i="50"/>
  <c r="H11" i="56"/>
  <c r="H11" i="50"/>
  <c r="F11" i="56"/>
  <c r="F11" i="50"/>
  <c r="E14" i="50"/>
  <c r="E14" i="56"/>
  <c r="M14" i="50"/>
  <c r="M14" i="56"/>
  <c r="L14" i="50"/>
  <c r="L14" i="56"/>
  <c r="M8" i="50"/>
  <c r="M8" i="56"/>
  <c r="G8" i="50"/>
  <c r="G8" i="56"/>
  <c r="E8" i="56"/>
  <c r="E8" i="50"/>
  <c r="I18" i="56"/>
  <c r="I18" i="50"/>
  <c r="D18" i="50"/>
  <c r="D18" i="56"/>
  <c r="K18" i="50"/>
  <c r="K18" i="56"/>
  <c r="O7" i="33"/>
  <c r="O23" i="33"/>
  <c r="O11" i="33"/>
  <c r="O18" i="33"/>
  <c r="O6" i="62"/>
  <c r="O20" i="62"/>
  <c r="O17" i="62"/>
  <c r="O11" i="62"/>
  <c r="O14" i="62"/>
  <c r="O8" i="62"/>
  <c r="O18" i="62"/>
  <c r="J5" i="56"/>
  <c r="J5" i="50"/>
  <c r="C5" i="56"/>
  <c r="C5" i="50"/>
  <c r="O8" i="51"/>
  <c r="N5" i="50"/>
  <c r="N5" i="56"/>
  <c r="J7" i="50"/>
  <c r="J7" i="56"/>
  <c r="G7" i="50"/>
  <c r="G7" i="56"/>
  <c r="I7" i="50"/>
  <c r="I7" i="56"/>
  <c r="J10" i="50"/>
  <c r="J10" i="56"/>
  <c r="K10" i="56"/>
  <c r="K10" i="50"/>
  <c r="D10" i="50"/>
  <c r="D10" i="56"/>
  <c r="J23" i="56"/>
  <c r="J23" i="50"/>
  <c r="K23" i="50"/>
  <c r="K23" i="56"/>
  <c r="I23" i="56"/>
  <c r="I23" i="50"/>
  <c r="J9" i="50"/>
  <c r="J9" i="56"/>
  <c r="C9" i="56"/>
  <c r="C9" i="50"/>
  <c r="O12" i="51"/>
  <c r="N9" i="56"/>
  <c r="N9" i="50"/>
  <c r="J21" i="50"/>
  <c r="J21" i="56"/>
  <c r="C21" i="56"/>
  <c r="C21" i="50"/>
  <c r="O24" i="51"/>
  <c r="M21" i="50"/>
  <c r="M21" i="56"/>
  <c r="J15" i="50"/>
  <c r="J15" i="56"/>
  <c r="C15" i="56"/>
  <c r="C15" i="50"/>
  <c r="O18" i="51"/>
  <c r="H15" i="56"/>
  <c r="H15" i="50"/>
  <c r="J22" i="50"/>
  <c r="J22" i="56"/>
  <c r="E22" i="56"/>
  <c r="E22" i="50"/>
  <c r="M22" i="50"/>
  <c r="M22" i="56"/>
  <c r="J12" i="50"/>
  <c r="J12" i="56"/>
  <c r="L12" i="56"/>
  <c r="J13" i="50"/>
  <c r="J13" i="56"/>
  <c r="G13" i="56"/>
  <c r="G13" i="50"/>
  <c r="M13" i="56"/>
  <c r="M13" i="50"/>
  <c r="J4" i="50"/>
  <c r="J4" i="56"/>
  <c r="L4" i="56"/>
  <c r="L4" i="50"/>
  <c r="G4" i="56"/>
  <c r="G4" i="50"/>
  <c r="L6" i="56"/>
  <c r="L6" i="50"/>
  <c r="K6" i="56"/>
  <c r="K6" i="50"/>
  <c r="H6" i="56"/>
  <c r="H6" i="50"/>
  <c r="E20" i="56"/>
  <c r="E20" i="50"/>
  <c r="G17" i="50"/>
  <c r="G17" i="56"/>
  <c r="H17" i="50"/>
  <c r="H17" i="56"/>
  <c r="G16" i="50"/>
  <c r="G16" i="56"/>
  <c r="M16" i="56"/>
  <c r="M16" i="50"/>
  <c r="E16" i="56"/>
  <c r="E16" i="50"/>
  <c r="M19" i="56"/>
  <c r="M19" i="50"/>
  <c r="D19" i="50"/>
  <c r="D19" i="56"/>
  <c r="N19" i="50"/>
  <c r="N19" i="56"/>
  <c r="D11" i="56"/>
  <c r="D11" i="50"/>
  <c r="K11" i="56"/>
  <c r="K11" i="50"/>
  <c r="N11" i="56"/>
  <c r="N11" i="50"/>
  <c r="D14" i="50"/>
  <c r="D14" i="56"/>
  <c r="G14" i="56"/>
  <c r="G14" i="50"/>
  <c r="F14" i="56"/>
  <c r="F14" i="50"/>
  <c r="H8" i="50"/>
  <c r="H8" i="56"/>
  <c r="C8" i="56"/>
  <c r="C8" i="50"/>
  <c r="O11" i="51"/>
  <c r="I8" i="50"/>
  <c r="I8" i="56"/>
  <c r="N18" i="50"/>
  <c r="N18" i="56"/>
  <c r="G18" i="56"/>
  <c r="G18" i="50"/>
  <c r="C18" i="56"/>
  <c r="C18" i="50"/>
  <c r="O21" i="51"/>
  <c r="H9" i="3"/>
  <c r="H29" i="3" s="1"/>
  <c r="G29" i="3"/>
  <c r="L9" i="3"/>
  <c r="N9" i="3"/>
  <c r="K29" i="3"/>
  <c r="C17" i="56" l="1"/>
  <c r="E12" i="50"/>
  <c r="E24" i="50" s="1"/>
  <c r="K12" i="56"/>
  <c r="C27" i="51"/>
  <c r="N17" i="56"/>
  <c r="G12" i="56"/>
  <c r="G24" i="56" s="1"/>
  <c r="N12" i="56"/>
  <c r="O10" i="33"/>
  <c r="F12" i="50"/>
  <c r="F24" i="50" s="1"/>
  <c r="C12" i="50"/>
  <c r="D17" i="56"/>
  <c r="I12" i="56"/>
  <c r="O20" i="51"/>
  <c r="I27" i="51"/>
  <c r="O15" i="51"/>
  <c r="E27" i="51"/>
  <c r="D12" i="56"/>
  <c r="N27" i="51"/>
  <c r="D27" i="51"/>
  <c r="D20" i="50"/>
  <c r="D24" i="50" s="1"/>
  <c r="L20" i="56"/>
  <c r="L24" i="56" s="1"/>
  <c r="O12" i="33"/>
  <c r="O19" i="33"/>
  <c r="O10" i="62"/>
  <c r="D20" i="56"/>
  <c r="H20" i="50"/>
  <c r="H24" i="50" s="1"/>
  <c r="F27" i="51"/>
  <c r="O22" i="62"/>
  <c r="H20" i="56"/>
  <c r="H24" i="56" s="1"/>
  <c r="G27" i="51"/>
  <c r="I20" i="56"/>
  <c r="N20" i="50"/>
  <c r="N24" i="50" s="1"/>
  <c r="K27" i="51"/>
  <c r="G20" i="50"/>
  <c r="G24" i="50" s="1"/>
  <c r="J20" i="56"/>
  <c r="J24" i="56" s="1"/>
  <c r="I20" i="50"/>
  <c r="I24" i="50" s="1"/>
  <c r="K20" i="56"/>
  <c r="O22" i="33"/>
  <c r="M27" i="51"/>
  <c r="F20" i="56"/>
  <c r="F24" i="56" s="1"/>
  <c r="M20" i="50"/>
  <c r="M24" i="50" s="1"/>
  <c r="O20" i="33"/>
  <c r="O19" i="62"/>
  <c r="N20" i="56"/>
  <c r="L27" i="51"/>
  <c r="J20" i="50"/>
  <c r="J24" i="50" s="1"/>
  <c r="O16" i="33"/>
  <c r="C20" i="56"/>
  <c r="C20" i="50"/>
  <c r="O23" i="51"/>
  <c r="O16" i="62"/>
  <c r="O21" i="56"/>
  <c r="O13" i="56"/>
  <c r="O5" i="56"/>
  <c r="L24" i="50"/>
  <c r="O4" i="56"/>
  <c r="O22" i="50"/>
  <c r="O9" i="56"/>
  <c r="O10" i="56"/>
  <c r="O8" i="50"/>
  <c r="O11" i="56"/>
  <c r="O16" i="56"/>
  <c r="O17" i="50"/>
  <c r="O6" i="56"/>
  <c r="O9" i="50"/>
  <c r="O10" i="50"/>
  <c r="O5" i="50"/>
  <c r="O18" i="50"/>
  <c r="O16" i="50"/>
  <c r="O6" i="50"/>
  <c r="O23" i="50"/>
  <c r="O15" i="56"/>
  <c r="O21" i="50"/>
  <c r="O7" i="56"/>
  <c r="E24" i="56"/>
  <c r="O11" i="50"/>
  <c r="M24" i="56"/>
  <c r="O18" i="56"/>
  <c r="O14" i="56"/>
  <c r="O19" i="56"/>
  <c r="O13" i="50"/>
  <c r="O22" i="56"/>
  <c r="O15" i="50"/>
  <c r="O23" i="56"/>
  <c r="O7" i="50"/>
  <c r="K24" i="50"/>
  <c r="O8" i="56"/>
  <c r="O14" i="50"/>
  <c r="O19" i="50"/>
  <c r="O4" i="50"/>
  <c r="O9" i="3"/>
  <c r="N29" i="3"/>
  <c r="M9" i="3"/>
  <c r="L29" i="3"/>
  <c r="M29" i="3" s="1"/>
  <c r="K24" i="56" l="1"/>
  <c r="O17" i="56"/>
  <c r="O12" i="56"/>
  <c r="N24" i="56"/>
  <c r="O12" i="50"/>
  <c r="I24" i="56"/>
  <c r="D24" i="56"/>
  <c r="O20" i="56"/>
  <c r="O27" i="51"/>
  <c r="O20" i="50"/>
  <c r="C24" i="50"/>
  <c r="O24" i="50" s="1"/>
  <c r="C24" i="56"/>
  <c r="O29" i="3"/>
  <c r="P9" i="3" s="1"/>
  <c r="O24" i="56" l="1"/>
  <c r="Q9" i="3"/>
  <c r="P15" i="3"/>
  <c r="Q15" i="3" s="1"/>
  <c r="R15" i="3" s="1"/>
  <c r="P18" i="3"/>
  <c r="Q18" i="3" s="1"/>
  <c r="R18" i="3" s="1"/>
  <c r="P17" i="3"/>
  <c r="Q17" i="3" s="1"/>
  <c r="R17" i="3" s="1"/>
  <c r="P11" i="3"/>
  <c r="Q11" i="3" s="1"/>
  <c r="R11" i="3" s="1"/>
  <c r="P12" i="3"/>
  <c r="Q12" i="3" s="1"/>
  <c r="R12" i="3" s="1"/>
  <c r="P16" i="3"/>
  <c r="Q16" i="3" s="1"/>
  <c r="R16" i="3" s="1"/>
  <c r="P19" i="3"/>
  <c r="Q19" i="3" s="1"/>
  <c r="R19" i="3" s="1"/>
  <c r="P14" i="3"/>
  <c r="Q14" i="3" s="1"/>
  <c r="R14" i="3" s="1"/>
  <c r="P10" i="3"/>
  <c r="Q10" i="3" s="1"/>
  <c r="R10" i="3" s="1"/>
  <c r="P13" i="3"/>
  <c r="Q13" i="3" s="1"/>
  <c r="R13" i="3" s="1"/>
  <c r="P21" i="3"/>
  <c r="Q21" i="3" s="1"/>
  <c r="R21" i="3" s="1"/>
  <c r="P24" i="3"/>
  <c r="Q24" i="3" s="1"/>
  <c r="R24" i="3" s="1"/>
  <c r="P22" i="3"/>
  <c r="Q22" i="3" s="1"/>
  <c r="R22" i="3" s="1"/>
  <c r="P27" i="3"/>
  <c r="Q27" i="3" s="1"/>
  <c r="R27" i="3" s="1"/>
  <c r="P25" i="3"/>
  <c r="Q25" i="3" s="1"/>
  <c r="R25" i="3" s="1"/>
  <c r="P26" i="3"/>
  <c r="Q26" i="3" s="1"/>
  <c r="R26" i="3" s="1"/>
  <c r="P20" i="3"/>
  <c r="Q20" i="3" s="1"/>
  <c r="R20" i="3" s="1"/>
  <c r="P23" i="3"/>
  <c r="Q23" i="3" s="1"/>
  <c r="R23" i="3" s="1"/>
  <c r="P28" i="3"/>
  <c r="Q28" i="3" s="1"/>
  <c r="R28" i="3" s="1"/>
  <c r="T29" i="3"/>
  <c r="R9" i="3" l="1"/>
  <c r="R29" i="3" s="1"/>
  <c r="Q29" i="3"/>
  <c r="P29" i="3"/>
  <c r="J8" i="13"/>
  <c r="K8" i="8"/>
  <c r="K28" i="8" s="1"/>
  <c r="J28" i="13" l="1"/>
  <c r="AI9" i="3"/>
  <c r="AI29" i="3" s="1"/>
  <c r="Y9" i="3"/>
  <c r="Y29" i="3" s="1"/>
  <c r="D24" i="43"/>
  <c r="D26" i="43" s="1"/>
  <c r="D29" i="45"/>
  <c r="O7" i="45"/>
  <c r="O27" i="45" s="1"/>
  <c r="O29" i="45" s="1"/>
  <c r="D5" i="59"/>
  <c r="D25" i="59" s="1"/>
  <c r="D27" i="59" s="1"/>
  <c r="R27" i="45" l="1"/>
  <c r="O5" i="59"/>
  <c r="O25" i="59" s="1"/>
  <c r="O27" i="59" s="1"/>
  <c r="O4" i="43"/>
  <c r="O24" i="43" s="1"/>
  <c r="O26" i="43" s="1"/>
</calcChain>
</file>

<file path=xl/sharedStrings.xml><?xml version="1.0" encoding="utf-8"?>
<sst xmlns="http://schemas.openxmlformats.org/spreadsheetml/2006/main" count="3137" uniqueCount="528">
  <si>
    <t>FONDO GENERAL DE PARTICIPACIONES</t>
  </si>
  <si>
    <t>ENERO</t>
  </si>
  <si>
    <t>FEBRERO</t>
  </si>
  <si>
    <t>MARZO</t>
  </si>
  <si>
    <t>ABRIL</t>
  </si>
  <si>
    <t>MAYO</t>
  </si>
  <si>
    <t>JUNIO</t>
  </si>
  <si>
    <t>JULIO</t>
  </si>
  <si>
    <t>AGOSTO</t>
  </si>
  <si>
    <t>SEPTIEMBRE</t>
  </si>
  <si>
    <t>OCTUBRE</t>
  </si>
  <si>
    <t>NOVIEMBRE</t>
  </si>
  <si>
    <t>DICIEMBRE</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</si>
  <si>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</si>
  <si>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</si>
  <si>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</si>
  <si>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</si>
  <si>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</si>
  <si>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</si>
  <si>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</si>
  <si>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</si>
  <si>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</si>
  <si>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</si>
  <si>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</si>
  <si>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</si>
  <si>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</si>
  <si>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</si>
  <si>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</si>
  <si>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</si>
  <si>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</si>
  <si>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</si>
  <si>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</si>
  <si>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</si>
  <si>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</si>
  <si>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</si>
  <si>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</si>
  <si>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</si>
  <si>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</si>
  <si>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</si>
  <si>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</si>
  <si>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</si>
  <si>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</si>
  <si>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</si>
  <si>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</si>
  <si>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</si>
  <si>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</si>
  <si>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</si>
  <si>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</si>
  <si>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</si>
  <si>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</si>
  <si>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</si>
  <si>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</si>
  <si>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</si>
  <si>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</si>
  <si>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</si>
  <si>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</si>
  <si>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</si>
  <si>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</si>
  <si>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</si>
  <si>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</si>
  <si>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</si>
  <si>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</si>
  <si>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</si>
  <si>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</si>
  <si>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</si>
  <si>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</si>
  <si>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</si>
  <si>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</si>
  <si>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</si>
  <si>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</si>
  <si>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</si>
  <si>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</si>
  <si>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</si>
  <si>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</si>
  <si>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</si>
  <si>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</si>
  <si>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</si>
  <si>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</si>
  <si>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</si>
  <si>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</si>
  <si>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</si>
  <si>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</si>
  <si>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</si>
  <si>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</si>
  <si>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</si>
  <si>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</si>
  <si>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</si>
  <si>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</si>
  <si>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</si>
  <si>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</si>
  <si>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</si>
  <si>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</si>
  <si>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</si>
  <si>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</si>
  <si>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</si>
  <si>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</si>
  <si>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</si>
  <si>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</si>
  <si>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</si>
  <si>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</si>
  <si>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</si>
  <si>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</si>
  <si>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</si>
  <si>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</si>
  <si>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</si>
  <si>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</si>
  <si>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</si>
  <si>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</si>
  <si>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</si>
  <si>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</si>
  <si>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</si>
  <si>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</si>
  <si>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</si>
  <si>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</si>
  <si>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</si>
  <si>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</si>
  <si>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</si>
  <si>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</si>
  <si>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</si>
  <si>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</si>
  <si>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</si>
  <si>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</si>
  <si>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</si>
  <si>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</si>
  <si>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</si>
  <si>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</si>
  <si>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</si>
  <si>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</si>
  <si>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</si>
  <si>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</si>
  <si>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</si>
  <si>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</si>
  <si>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</si>
  <si>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</si>
  <si>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</si>
  <si>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</si>
  <si>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</si>
  <si>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</si>
  <si>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</si>
  <si>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</si>
  <si>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</si>
  <si>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</si>
  <si>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</si>
  <si>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</si>
  <si>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</si>
  <si>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</si>
  <si>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</si>
  <si>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</si>
  <si>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</si>
  <si>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</si>
  <si>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</si>
  <si>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</si>
  <si>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</si>
  <si>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</si>
  <si>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</si>
  <si>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</si>
  <si>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</si>
  <si>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</si>
  <si>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</si>
  <si>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</si>
  <si>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</si>
  <si>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</si>
  <si>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</si>
  <si>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</si>
  <si>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</si>
  <si>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</si>
  <si>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</si>
  <si>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</si>
  <si>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</si>
  <si>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fuente:</t>
  </si>
  <si>
    <t>Cuadro 9</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</si>
  <si>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</si>
  <si>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</si>
  <si>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</si>
  <si>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</si>
  <si>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</si>
  <si>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</si>
  <si>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</si>
  <si>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</si>
  <si>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</si>
  <si>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</si>
  <si>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</si>
  <si>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</si>
  <si>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</si>
  <si>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</si>
  <si>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</si>
  <si>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</si>
  <si>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</si>
  <si>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</si>
  <si>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</si>
  <si>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</si>
  <si>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</si>
  <si>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</si>
  <si>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</si>
  <si>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</si>
  <si>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</si>
  <si>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</si>
  <si>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</si>
  <si>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</si>
  <si>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</si>
  <si>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</si>
  <si>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</si>
  <si>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</si>
  <si>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</si>
  <si>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</si>
  <si>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</si>
  <si>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</si>
  <si>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</si>
  <si>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Distribución x</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</si>
  <si>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</si>
  <si>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</si>
  <si>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</si>
  <si>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</si>
  <si>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</si>
  <si>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</si>
  <si>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</si>
  <si>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</si>
  <si>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</si>
  <si>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</si>
  <si>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</si>
  <si>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</si>
  <si>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</si>
  <si>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</si>
  <si>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</si>
  <si>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</si>
  <si>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</si>
  <si>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</si>
  <si>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</si>
  <si>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</si>
  <si>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</si>
  <si>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</si>
  <si>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</si>
  <si>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</si>
  <si>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</si>
  <si>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</si>
  <si>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</si>
  <si>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</si>
  <si>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</si>
  <si>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</si>
  <si>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</si>
  <si>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</si>
  <si>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</si>
  <si>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</si>
  <si>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</si>
  <si>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</si>
  <si>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</si>
  <si>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</si>
  <si>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</si>
  <si>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</si>
  <si>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</si>
  <si>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</si>
  <si>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</si>
  <si>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</si>
  <si>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</si>
  <si>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</si>
  <si>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</si>
  <si>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</si>
  <si>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</si>
  <si>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</si>
  <si>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</si>
  <si>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</si>
  <si>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</si>
  <si>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</si>
  <si>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</si>
  <si>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</si>
  <si>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</si>
  <si>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</si>
  <si>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</si>
  <si>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</si>
  <si>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</si>
  <si>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</si>
  <si>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Fondo General de Participaciones</t>
  </si>
  <si>
    <t>Coeficiente Efectivo</t>
  </si>
  <si>
    <t>Importe</t>
  </si>
  <si>
    <t>Componente solo para los que Suscribieron Convenio para el Cobro de Predial</t>
  </si>
  <si>
    <t>Estimación del Fondo de Compensación del Impuesto Sobre Automóviles Nuevos</t>
  </si>
  <si>
    <t>Estimación de los Incentivos por el Impuesto Sobre Automóviles Nuevos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</si>
  <si>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</si>
  <si>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</si>
  <si>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</si>
  <si>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</si>
  <si>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</si>
  <si>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</si>
  <si>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</si>
  <si>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</si>
  <si>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</si>
  <si>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</si>
  <si>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</si>
  <si>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</si>
  <si>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</si>
  <si>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</si>
  <si>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</si>
  <si>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</si>
  <si>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</si>
  <si>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</si>
  <si>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</si>
  <si>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</si>
  <si>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</si>
  <si>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</si>
  <si>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</si>
  <si>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(6= 2+5)</t>
  </si>
  <si>
    <t>(6=5*.10)</t>
  </si>
  <si>
    <t>(8=2+4+7)</t>
  </si>
  <si>
    <t>Participaciones Específicas en el Impuesto Especial Sobre Producción y Servicios</t>
  </si>
  <si>
    <t>FACTOR DE DISTRIBUCION 2014</t>
  </si>
  <si>
    <t>DISTRIBUIDO EN 2014</t>
  </si>
  <si>
    <t>COMPONENTE DEL 70%</t>
  </si>
  <si>
    <t>COMPONENTE DEL 30%</t>
  </si>
  <si>
    <t>COEFICIENTE EFECTIVO DE PARTICIPACION</t>
  </si>
  <si>
    <t xml:space="preserve">FACTOR DE POBLACION FACTOR DIRECTO </t>
  </si>
  <si>
    <t>COEFICIENTE EFECTIVO POR POBLACION</t>
  </si>
  <si>
    <t>FACTOR INVERSO A LA POBLACION</t>
  </si>
  <si>
    <t>PORCENTAJE INVERSO</t>
  </si>
  <si>
    <t>COEFICIENTE EFECTIVO INVERSO A POBLACION (30%)</t>
  </si>
  <si>
    <t>DE</t>
  </si>
  <si>
    <t>FOCO</t>
  </si>
  <si>
    <t>A PARTICIPAR</t>
  </si>
  <si>
    <t>(4= 1*.70)</t>
  </si>
  <si>
    <t>(5 = Inv de 1)</t>
  </si>
  <si>
    <t>(6=5/∑5)100</t>
  </si>
  <si>
    <t>(7=6*.30)</t>
  </si>
  <si>
    <t>(8= 4+7)</t>
  </si>
  <si>
    <t>(10=(2+9)</t>
  </si>
  <si>
    <t>Las cifras parciales pueden no coincidir con el total debido al redondeo</t>
  </si>
  <si>
    <t>FUENTES:</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</si>
  <si>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</si>
  <si>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Suma (10.1 + 10.2) = (10)</t>
  </si>
  <si>
    <t>ESTIMACION 2014: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</si>
  <si>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ANEXO I</t>
  </si>
  <si>
    <t>MES</t>
  </si>
  <si>
    <t>FONDO DE FOMENTO MUNICIPAL</t>
  </si>
  <si>
    <t>FECHA LIMITE DE ENTREGA</t>
  </si>
  <si>
    <t>6</t>
  </si>
  <si>
    <t>4</t>
  </si>
  <si>
    <t>29</t>
  </si>
  <si>
    <t>1</t>
  </si>
  <si>
    <t>30</t>
  </si>
  <si>
    <t>IMPUESTO ESPECIAL SOBRE PRODUCCION Y SERVICIOS</t>
  </si>
  <si>
    <t>FONDO DE FISCALIZACION Y RECAUDACION</t>
  </si>
  <si>
    <t>FONDO DE COMPENSACIÓN DEL IMPUESTO SOBRE AUTOMOVILES NUEVOS</t>
  </si>
  <si>
    <t>DISTRIBUCIÓN A MUNICIPIOS POR PARTICIPACION FEDERAL DEL FONDO DE COMPENSACION DE ISAN EJERCICIO 2020</t>
  </si>
  <si>
    <t>AYUNTAMIENTO</t>
  </si>
  <si>
    <t>A MUNICIPIOS</t>
  </si>
  <si>
    <t>MUNICIPIOS</t>
  </si>
  <si>
    <t>PARTICIPACION 2017</t>
  </si>
  <si>
    <t>INCREMENTO</t>
  </si>
  <si>
    <t xml:space="preserve">MUNICIPIO </t>
  </si>
  <si>
    <t>DISTRIBUCIÓN A MUNICIPIOS POR PARTICIPACION FEDERAL DEL FONDO DE COMPENSACION EJERCICIO 2014</t>
  </si>
  <si>
    <t>FACTOR DE DISTRIB. 2020</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</si>
  <si>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</si>
  <si>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</si>
  <si>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</si>
  <si>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</si>
  <si>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</si>
  <si>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</si>
  <si>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</si>
  <si>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</si>
  <si>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</si>
  <si>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</si>
  <si>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</si>
  <si>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</si>
  <si>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</si>
  <si>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 xml:space="preserve"> </t>
  </si>
  <si>
    <t>Población                                2020</t>
  </si>
  <si>
    <t>Censo  de Población y Vivienda  2020</t>
  </si>
  <si>
    <t>Censo de Población y Vivienda 2020 Publicada en el Portal del INEGI 25 de Enero del 2021</t>
  </si>
  <si>
    <t>Censo 2020</t>
  </si>
  <si>
    <t>Población 2020</t>
  </si>
  <si>
    <t>3</t>
  </si>
  <si>
    <t>ISR BIENES INMUEBLES</t>
  </si>
  <si>
    <t>IMPUESTO SOBRE LA RENTA</t>
  </si>
  <si>
    <t>IMPUESTO SOBRE AUTOMOVILES NUEVOS</t>
  </si>
  <si>
    <r>
      <rPr>
        <b/>
        <i/>
        <sz val="9"/>
        <color theme="1"/>
        <rFont val="Arial"/>
        <family val="2"/>
      </rPr>
      <t xml:space="preserve"> POBLACION.-</t>
    </r>
    <r>
      <rPr>
        <i/>
        <sz val="9"/>
        <color theme="1"/>
        <rFont val="Arial"/>
        <family val="2"/>
      </rPr>
      <t xml:space="preserve"> Censo de Población y Vivienda 2020. publicado el 25 de enero de 2021 en el Portal del INEGI </t>
    </r>
  </si>
  <si>
    <r>
      <rPr>
        <b/>
        <sz val="9"/>
        <color theme="1"/>
        <rFont val="Arial"/>
        <family val="2"/>
      </rPr>
      <t>ESTIMACION 2014.-</t>
    </r>
    <r>
      <rPr>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</si>
  <si>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sz val="9"/>
        <color theme="1"/>
        <rFont val="Arial"/>
        <family val="2"/>
      </rPr>
      <t>PREDIAL Y AGUA.-</t>
    </r>
    <r>
      <rPr>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</si>
  <si>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sz val="9"/>
        <color theme="1"/>
        <rFont val="Arial"/>
        <family val="2"/>
      </rPr>
      <t>POBLACION.-</t>
    </r>
    <r>
      <rPr>
        <sz val="9"/>
        <color theme="1"/>
        <rFont val="Arial"/>
        <family val="2"/>
      </rPr>
      <t xml:space="preserve"> Censo de Población y Vivienda 2020. publicado el 25 de enero de 2021 en el Portal del INEGI </t>
    </r>
  </si>
  <si>
    <r>
      <t xml:space="preserve"> </t>
    </r>
    <r>
      <rPr>
        <i/>
        <sz val="11"/>
        <color theme="1"/>
        <rFont val="Calibri"/>
        <family val="2"/>
        <scheme val="minor"/>
      </rPr>
      <t xml:space="preserve">POBLACION.- Censo de Población y Vivienda 2020. publicado el 25 de enero de 2021 en el Portal del INEGI </t>
    </r>
    <r>
      <rPr>
        <sz val="11"/>
        <color theme="1"/>
        <rFont val="Calibri"/>
        <family val="2"/>
        <scheme val="minor"/>
      </rPr>
      <t xml:space="preserve"> </t>
    </r>
  </si>
  <si>
    <t xml:space="preserve">POBLACION.- Censo de Población y Vivienda 2020. publicado el 25 de enero de 2021 en el Portal del INEGI </t>
  </si>
  <si>
    <r>
      <t xml:space="preserve">POBLACION.- </t>
    </r>
    <r>
      <rPr>
        <i/>
        <sz val="9"/>
        <color theme="1"/>
        <rFont val="Arial"/>
        <family val="2"/>
      </rPr>
      <t>Censo de Población y Vivienda 2020. publicado el 25 de enero de 2021 en el Portal del INEGI</t>
    </r>
    <r>
      <rPr>
        <b/>
        <i/>
        <sz val="9"/>
        <color theme="1"/>
        <rFont val="Arial"/>
        <family val="2"/>
      </rPr>
      <t xml:space="preserve"> </t>
    </r>
  </si>
  <si>
    <t>Calendarización del Calculo de distribución  de la estimación  del Fondo General de Participaciones de 2020</t>
  </si>
  <si>
    <t>Calendarización del Calculo de distribución  de la estimación del Fondo de Fomento Municipal de 2020</t>
  </si>
  <si>
    <t>Calendarización del Calculo de distribución de la estimación del Fondo de Compensación a los Municipios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</si>
  <si>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</si>
  <si>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</si>
  <si>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Calendarizacion del Calculo de distribución de la estimación de los Incentivos por el Impuesto Sobre Automóviles Nuevos de 2020</t>
  </si>
  <si>
    <t>RAMO GENERAL 28: PARTICIPACIONES A ENTIDADES FEDERATIVAS Y MUNICIPIOS</t>
  </si>
  <si>
    <t>ANUAL</t>
  </si>
  <si>
    <t>GARANTIZADA 2014</t>
  </si>
  <si>
    <t>EXCEDENTE</t>
  </si>
  <si>
    <t>IMPUESTO PREDIAL URBANO, IMPUESTO PREDIAL RUSTICO E IMPUESTO SOBRE ADQUISICION DE BIENES INMUEBLES. (SE PARTICIPA EL 100%)</t>
  </si>
  <si>
    <t>SUMA TOTAL</t>
  </si>
  <si>
    <t>TOTAL GENENRAL RECIBIDO</t>
  </si>
  <si>
    <t>TOTAL GENERAL DISTRIBUIDO</t>
  </si>
  <si>
    <t>FACTOR DE DISTRIB. 2021</t>
  </si>
  <si>
    <r>
      <rPr>
        <b/>
        <sz val="11"/>
        <color theme="1"/>
        <rFont val="Arial"/>
        <family val="2"/>
      </rPr>
      <t>Población:</t>
    </r>
    <r>
      <rPr>
        <sz val="11"/>
        <color theme="1"/>
        <rFont val="Arial"/>
        <family val="2"/>
      </rPr>
      <t xml:space="preserve"> Censo Nacional de Población y Vivienda 2020 de INEGI</t>
    </r>
  </si>
  <si>
    <t>CORRESPONDIENTE AL 60% DEL CRECIMIENTO</t>
  </si>
  <si>
    <t>CORRESPONDIENTE AL 30% DEL CRECIMIENTO</t>
  </si>
  <si>
    <t>Porcentaje que representa los coeficiente C1 Y C2</t>
  </si>
  <si>
    <t>Porcentaje que representa la inversa proporcional         (16)</t>
  </si>
  <si>
    <t>CORRESPONDIENTE AL 10% DEL CRECIMIENTO</t>
  </si>
  <si>
    <t>(19)=(2+6+12+18)</t>
  </si>
  <si>
    <t>Las cifras pueden no coincidir por el redondeo</t>
  </si>
  <si>
    <r>
      <t>POBLACIÓN</t>
    </r>
    <r>
      <rPr>
        <sz val="11"/>
        <color theme="1"/>
        <rFont val="Calibri"/>
        <family val="2"/>
        <scheme val="minor"/>
      </rPr>
      <t xml:space="preserve">.- Censo de Población y Vivienda 2020. publicado el 25 de enero de 2021 en el Portal del INEGI </t>
    </r>
  </si>
  <si>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articulo 2 de la Ley de Coordinación Fiscal </t>
    </r>
  </si>
  <si>
    <t>Fondo General de Participaciones base Septiembre 2014 (recibido y distribuido en el 2014)</t>
  </si>
  <si>
    <t>Suma (6.1 + 6.2 + 6.3) = (3)</t>
  </si>
  <si>
    <t>Completo</t>
  </si>
  <si>
    <t>(INCREMENTO 2022)</t>
  </si>
  <si>
    <t>Calendarización del Calculo de distribución  de la estimación del Impuesto Especial Sobre Producción y Servicios de 2022</t>
  </si>
  <si>
    <t>No.</t>
  </si>
  <si>
    <t>FACTOR</t>
  </si>
  <si>
    <t xml:space="preserve">DE </t>
  </si>
  <si>
    <t>REC</t>
  </si>
  <si>
    <t>BAHIA DE BANDERAS</t>
  </si>
  <si>
    <t>SAN PEDRO LAGUINILLAS</t>
  </si>
  <si>
    <t>SANTA MARIA DEL ORO</t>
  </si>
  <si>
    <t>DISTRIBUCION DE PARTICIPACIONES DEL ISR DE ENAJENACION DE BIENES 2021</t>
  </si>
  <si>
    <t>ISR A CARGO POR AVANCE DEL POA DE METODOS SUSTANTIVOS ANUAL DE 2020</t>
  </si>
  <si>
    <t>ISR ENAJ 2021</t>
  </si>
  <si>
    <t>ISR ENAJENACION 2021</t>
  </si>
  <si>
    <t>RECAUDACION MPIOS.</t>
  </si>
  <si>
    <t>DOF-20/12/2021</t>
  </si>
  <si>
    <t>ISR ENAJENACION 2022</t>
  </si>
  <si>
    <t>FACTOR DE DISTRIB. 2022</t>
  </si>
  <si>
    <t>Fondo de Compensación</t>
  </si>
  <si>
    <t>ISR Enajenación de Bienes</t>
  </si>
  <si>
    <t xml:space="preserve">ISR </t>
  </si>
  <si>
    <t>SUMA DE COEFICIENTES  EFECTIVOS  PARA 2022</t>
  </si>
  <si>
    <t>Total a Distribuir por Crecimiento 2022</t>
  </si>
  <si>
    <t xml:space="preserve">Coeficiente de Participación </t>
  </si>
  <si>
    <t xml:space="preserve">MUNICIPIOS </t>
  </si>
  <si>
    <t>Nuevas Potestades ( Gasolinas y Diésel)</t>
  </si>
  <si>
    <t>NUEVAS POTESTADES (GASOLINA Y DIESEL) Y FONDO DE COMPENSACIÓN EN TANTO EL ESTADO  LO RECIBA</t>
  </si>
  <si>
    <t>CALENDARIO DE ENTREGA DE PARTICIPACIONES FEDERALES A LOS MUNICIPIOS CORRESPONDIENTE AL EJERCICIO FISCAL 2023</t>
  </si>
  <si>
    <t>CALENDARIO DE ENTREGA PARA EL EJERCICIO FISCAL 2023</t>
  </si>
  <si>
    <t>Cálculo de distribución  de la estimación  del Fondo General de Participaciones de 2023</t>
  </si>
  <si>
    <t>Cálculo de distribución  de la estimación del Fondo de Fomento Municipal de 2023</t>
  </si>
  <si>
    <t>Total Fondo de Fondo de Fomento Municipal 2023</t>
  </si>
  <si>
    <t>Cálculo de distribución de la estimación del Fondo de Fiscalización y Recaudación de 2023</t>
  </si>
  <si>
    <t>Crecimiento del FOFIR 2023</t>
  </si>
  <si>
    <t>Calculo de distribución de la estimación del Fondo de Compensación a los Municipios de 2023</t>
  </si>
  <si>
    <t>CRECIMIENTO DEL FOCO 2023</t>
  </si>
  <si>
    <t>Cálculo de distribución  de la estimación del Impuesto Especial Sobre Producción y Servicios de 2023</t>
  </si>
  <si>
    <t>Factor de Distribución 2023</t>
  </si>
  <si>
    <t>Crecimiento del IEPS  en 2023</t>
  </si>
  <si>
    <t>Cálculo de distribución  Nuevas Potestades  Gasolina y Diesel de 2023</t>
  </si>
  <si>
    <t>Crecimiento en el Impuesto para 2023</t>
  </si>
  <si>
    <t>Distribución para el 2023</t>
  </si>
  <si>
    <t>Cálculo de distribución de la estimación de los Incentivos por el Impuesto Sobre Automóviles Nuevos de 2023</t>
  </si>
  <si>
    <t>Cálculo de distribución de la estimación del Fondo de Compensación del  Impuesto Sobre Automóviles Nuevos de 2023</t>
  </si>
  <si>
    <t>Cálculo de la Distribución de ISR Enajenación de Bienes de 2023</t>
  </si>
  <si>
    <t>Distribución correspondiente a septiembre 2023</t>
  </si>
  <si>
    <t>Ejercicio:                                       2023</t>
  </si>
  <si>
    <t>Fondo General de Participaciones recibido en la Entidad 2023 (determinado por Hacienda)</t>
  </si>
  <si>
    <t>Fondo General de Participaciones crecimiento 2023 (3-4)</t>
  </si>
  <si>
    <t>5.1 Primera parte 60% del crecimiento 2023</t>
  </si>
  <si>
    <t>5.2 Segunda parte 30% del crecimiento 2023</t>
  </si>
  <si>
    <t>5.3 Tercera parte 10% del crecimiento 2023</t>
  </si>
  <si>
    <t>Total Fondo General de Participaciones a distribuir en 2023 (3 + 4)</t>
  </si>
  <si>
    <t>Fondo de Fomento Municipal recibido en la Entidad 2023 (determinado por Hacienda)</t>
  </si>
  <si>
    <t>Crecimiento del Fondo de Fomento Municipal 2023 (1-2)</t>
  </si>
  <si>
    <t>10.1 Primera parte 70% del crecimiento 2023</t>
  </si>
  <si>
    <t>10.2 Segunda parte 30% del crecimiento 2023</t>
  </si>
  <si>
    <t>Total Fondo  de Fomento  Municipal a distribuir en 2023 (8 + 9)</t>
  </si>
  <si>
    <t>Fondo de Fiscalizacion recibido en la Entidad 2023 (determinado por Hacienda)</t>
  </si>
  <si>
    <t>Crecimiento del Fondo de Fiscalizacion en 2023 (9-10)</t>
  </si>
  <si>
    <t>Fondo de Compensacion recibido en la Entidad 2023 (determinado por Hacienda)</t>
  </si>
  <si>
    <t>Crecimiento del Fondo de Compensación en 2023 (12-13)</t>
  </si>
  <si>
    <t>Fondo de Impuesto sobre la renta recibido en la Entidad 2023 (determinado por Hacienda)</t>
  </si>
  <si>
    <t>Crecimiento del Fondo de ISR 2023 (15-16)</t>
  </si>
  <si>
    <t>Impuesto Especial s/Producción y Servicios  recibido en la Entidad 2023 (determinado por Hacienda)</t>
  </si>
  <si>
    <t>Crecimiento del Impuesto Especial s/Producción y Servicios en 2023 (18-19)</t>
  </si>
  <si>
    <t>Impuesto Especial s/Producción y Servicios  (G y D)recibido en la Entidad 2023 (determinado por Hacienda)</t>
  </si>
  <si>
    <t>Crecimiento del Impuesto Especial s/Producción y Servicios en 2023 (21-22)</t>
  </si>
  <si>
    <t>Impuesto sobre automóviles nuevos ISAN, recibido en la Entidad 2023 (determinado por Hacienda)</t>
  </si>
  <si>
    <t>Crecimiento del Impuesto sobre Automóviles Nuevos ISAN en 2023 (24-25)</t>
  </si>
  <si>
    <t>Fondo de Compensacion sobre el ISAN, recibido en la Entidad 2023 (determinado por Hacienda)</t>
  </si>
  <si>
    <t>Fondo General de Participaciones recibido en la Entidad  2023</t>
  </si>
  <si>
    <t>6.1 Primera parte 60% del crecimiento 2023</t>
  </si>
  <si>
    <t>6.2 Segunda parte 30% del crecimiento 2023</t>
  </si>
  <si>
    <t>6.3 Tercera parte 10% del crecimiento 2023</t>
  </si>
  <si>
    <t>Distribución Calendarizada  a Municipios por Participación Federal del Fondo General de Participaciones de 2023</t>
  </si>
  <si>
    <t>Distribución Calendarizada  a Municipios por Participación Federal del Fondo de Fomento Municipal de 2023</t>
  </si>
  <si>
    <t>Distribución calendarizada  a Municipios por Participación Federal del Impuesto Especial Sobre Producción y Servicios de 2023</t>
  </si>
  <si>
    <t>Distribución calendarizada a Municipios de Nuevas Potestades Gasolina y Diesel de 2023</t>
  </si>
  <si>
    <t>Distribución Calendarizada  a Municipios por Participacion Federal del Fondo de Fiscalización de 2023</t>
  </si>
  <si>
    <t xml:space="preserve">Distribución Calendarizada  a Municipios por Participación Federal del Fondo de Compensación Ejercicio 2023 </t>
  </si>
  <si>
    <t>Distribución calendarizad a Municipios de los Incentivos por el Impuesto Sobre Automóviles Nuevos de 2023</t>
  </si>
  <si>
    <t>Distribución  calendarizadaa Municipios por Participación Federal del Fondo de Compensación del  Impuesto Sobre Automóviles Nuevos de 2023</t>
  </si>
  <si>
    <t>Distribución  calendarizadaa Municipios por Participación Federal del Impuesto Sobre la Renta de 2023</t>
  </si>
  <si>
    <t>Distribución  calendarizadaa Municipios por Participación Federal del ISR Enajenación de Bienes de 2023</t>
  </si>
  <si>
    <t xml:space="preserve"> FONDO GENERAL DE PARTICIPACIONES 2023</t>
  </si>
  <si>
    <t xml:space="preserve"> FONDO DE FOMENTO MUNICIPAL 2023</t>
  </si>
  <si>
    <t>PARTICIPACIONES ESPECIFICAS EN EL IMPUESTO  ESPECIAL SOBRE PRODUCCION Y SERVICIOS 2023</t>
  </si>
  <si>
    <t>POR VENTA  DE GASOLINA Y DIESEL 2023</t>
  </si>
  <si>
    <t xml:space="preserve"> FONDO DE FISCALIZACION Y RECAUDACION 2023</t>
  </si>
  <si>
    <t xml:space="preserve"> FONDO DE COMPENSACION 2023</t>
  </si>
  <si>
    <t>INCENTIVOS POR EL IMPUESTO SOBRE AUTOMOVILES NUEVOS 2023</t>
  </si>
  <si>
    <t>FONDO DE COMPENSACION DE ISAN 2023</t>
  </si>
  <si>
    <t>INCENTIVOS POR EL IMPUESTO SOBRE AUTOMOVILES NUEVOS  2023 (INCLUYE FONDO DE COMPENSACION DE ISAN)</t>
  </si>
  <si>
    <t>PARTICIPACION DEL 100% DE LA RECAUDACION ISR 2023</t>
  </si>
  <si>
    <t>FONDO DE COMPENSACION DE REPECOS E INTERMEDIOS 2023</t>
  </si>
  <si>
    <t>TENENCIA ESTATAL 2023</t>
  </si>
  <si>
    <t>OTROS INCENTIVOS DE 2023 DERIVADOS DE LOS CONVENIOS DE COLABORACION ADMINISTRATIVA EN MATERIA FISCAL FEDERAL</t>
  </si>
  <si>
    <t>INGRESOS MUNICIPAES COORDINADOS 2023</t>
  </si>
  <si>
    <t>FONDO DE APORTACIONES PARA LA INFRAESTRUCTUTA SOCIAL MUNICIPAL (FAIS) 2023</t>
  </si>
  <si>
    <t>FONDO DE APORTACIONES PARA EL FORTALECIMIENTO DE LOS MUNICIPIOS (FORTAMUN) 2023</t>
  </si>
  <si>
    <t>ISR ENAJENACION DE BIENES INMUEBLES 2023</t>
  </si>
  <si>
    <t xml:space="preserve">  PARTICIPACIONES A LA VENTA FINAL DE GASOLINAS Y DIESEL 2023</t>
  </si>
  <si>
    <t xml:space="preserve"> FONDO DE FISCALIZACION  Y RECAUDACION 2023</t>
  </si>
  <si>
    <t>INCENTIVOS POR EL IMPUESTO SOBRE AUTOMOVILES NUEVOS  DE 2023</t>
  </si>
  <si>
    <t>FONDO DE COMPENSACION DEL IMPUESTO SOBRE AUTOMOVILES NUEVOS (ISAN) 2023</t>
  </si>
  <si>
    <t>PARTICIPACIONES POR EL 100% DE LA RECAUDACION DEL ISR QUE SE ENTERE A LA FEDERACION, POR EL SALARIO DEL PERSONAL DE LAS ENTIDADES EN 2023</t>
  </si>
  <si>
    <t>FONDO DE COMPENSACION DE REPECOS E INTERMEDIOS DE 2023</t>
  </si>
  <si>
    <t>DOF-19/12/2022</t>
  </si>
  <si>
    <t>SUMA DE COEFICIENTES  EFECTIVOS  PARA 2023</t>
  </si>
  <si>
    <t xml:space="preserve">ENERO </t>
  </si>
  <si>
    <t>10</t>
  </si>
  <si>
    <t>2</t>
  </si>
  <si>
    <t xml:space="preserve">AGOSTO </t>
  </si>
  <si>
    <t xml:space="preserve">SEPTIEMBRE </t>
  </si>
  <si>
    <t xml:space="preserve">DICIEMBRE </t>
  </si>
  <si>
    <t>ENERO 2024</t>
  </si>
  <si>
    <t>SEPTIEMRE</t>
  </si>
  <si>
    <t>Estimación de Participaciones Federales que recibirán cada uno de los veinte Municipios del Estado de Nayarit en el ejercicio Fiscal 2023</t>
  </si>
  <si>
    <t>DISTRIBUCION DE PARTICIPACIONES DEL IMPUESTO SOBRE LA RENTA EJERCICIO 2022</t>
  </si>
  <si>
    <t>5</t>
  </si>
  <si>
    <t>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</si>
</sst>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quot;$&quot;#,##0.00"/>
    <numFmt numFmtId="41" formatCode="_-* #,##0_-;\-* #,##0_-;_-* &quot;-&quot;_-;_-@_-"/>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_-&quot;$&quot;* #,##0.000_-;\-&quot;$&quot;* #,##0.000_-;_-&quot;$&quot;* &quot;-&quot;???_-;_-@_-"/>
    <numFmt numFmtId="174" formatCode="#,##0.00_ ;[Red]\-#,##0.00\ "/>
  </numFmts>
  <fonts count="54"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9"/>
      <color theme="1"/>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
      <sz val="9"/>
      <color theme="3"/>
      <name val="Arial"/>
      <family val="2"/>
    </font>
    <font>
      <b/>
      <sz val="20"/>
      <color theme="0"/>
      <name val="Arial"/>
      <family val="2"/>
    </font>
    <font>
      <sz val="6"/>
      <name val="Arial"/>
      <family val="2"/>
    </font>
    <font>
      <b/>
      <sz val="12"/>
      <color theme="1"/>
      <name val="Calibri"/>
      <family val="2"/>
      <scheme val="minor"/>
    </font>
    <font>
      <b/>
      <sz val="6"/>
      <name val="Arial"/>
      <family val="2"/>
    </font>
    <font>
      <sz val="7"/>
      <name val="Arial"/>
      <family val="2"/>
    </font>
    <font>
      <b/>
      <sz val="10"/>
      <color theme="1"/>
      <name val="Calibri"/>
      <family val="2"/>
      <scheme val="minor"/>
    </font>
    <font>
      <sz val="11"/>
      <color theme="0"/>
      <name val="Arial"/>
      <family val="2"/>
    </font>
    <font>
      <b/>
      <sz val="11"/>
      <color theme="0"/>
      <name val="Arial"/>
      <family val="2"/>
    </font>
    <font>
      <b/>
      <sz val="10"/>
      <color theme="0"/>
      <name val="Arial"/>
      <family val="2"/>
    </font>
  </fonts>
  <fills count="2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6" tint="-0.249977111117893"/>
        <bgColor indexed="64"/>
      </patternFill>
    </fill>
    <fill>
      <patternFill patternType="solid">
        <fgColor rgb="FF7030A0"/>
        <bgColor indexed="64"/>
      </patternFill>
    </fill>
    <fill>
      <patternFill patternType="solid">
        <fgColor rgb="FF92D050"/>
        <bgColor indexed="64"/>
      </patternFill>
    </fill>
    <fill>
      <patternFill patternType="solid">
        <fgColor theme="4"/>
        <bgColor indexed="64"/>
      </patternFill>
    </fill>
    <fill>
      <patternFill patternType="solid">
        <fgColor rgb="FFFFFF99"/>
        <bgColor indexed="64"/>
      </patternFill>
    </fill>
    <fill>
      <patternFill patternType="solid">
        <fgColor indexed="43"/>
        <bgColor indexed="64"/>
      </patternFill>
    </fill>
    <fill>
      <patternFill patternType="solid">
        <fgColor rgb="FFFFFFFF"/>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000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auto="1"/>
      </left>
      <right style="thick">
        <color auto="1"/>
      </right>
      <top style="thick">
        <color auto="1"/>
      </top>
      <bottom style="thick">
        <color auto="1"/>
      </bottom>
      <diagonal/>
    </border>
  </borders>
  <cellStyleXfs count="8">
    <xf numFmtId="0" fontId="0" fillId="0" borderId="0"/>
    <xf numFmtId="44" fontId="3" fillId="0" borderId="0" applyFont="0" applyFill="0" applyBorder="0" applyAlignment="0" applyProtection="0"/>
    <xf numFmtId="0" fontId="28" fillId="0" borderId="0"/>
    <xf numFmtId="0" fontId="28" fillId="0" borderId="0"/>
    <xf numFmtId="0" fontId="28" fillId="0" borderId="0"/>
    <xf numFmtId="0" fontId="1" fillId="0" borderId="0"/>
    <xf numFmtId="44" fontId="28" fillId="0" borderId="0" applyFont="0" applyFill="0" applyBorder="0" applyAlignment="0" applyProtection="0"/>
    <xf numFmtId="9" fontId="28" fillId="0" borderId="0" applyFont="0" applyFill="0" applyBorder="0" applyAlignment="0" applyProtection="0"/>
  </cellStyleXfs>
  <cellXfs count="1298">
    <xf numFmtId="0" fontId="0" fillId="0" borderId="0" xfId="0"/>
    <xf numFmtId="0" fontId="5"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xf numFmtId="0" fontId="0" fillId="0" borderId="0" xfId="0" applyFill="1"/>
    <xf numFmtId="49" fontId="6" fillId="0" borderId="0" xfId="0" applyNumberFormat="1" applyFont="1" applyBorder="1" applyAlignment="1">
      <alignment horizontal="right"/>
    </xf>
    <xf numFmtId="49" fontId="6" fillId="0" borderId="0" xfId="0" applyNumberFormat="1" applyFont="1" applyBorder="1"/>
    <xf numFmtId="0" fontId="7" fillId="0" borderId="0" xfId="0" applyFont="1"/>
    <xf numFmtId="0" fontId="0" fillId="0" borderId="0" xfId="0" applyAlignment="1">
      <alignment horizontal="center"/>
    </xf>
    <xf numFmtId="0" fontId="8" fillId="0" borderId="0" xfId="0" applyFont="1" applyAlignment="1">
      <alignment horizontal="center"/>
    </xf>
    <xf numFmtId="0" fontId="9" fillId="0" borderId="0" xfId="0" applyFont="1"/>
    <xf numFmtId="0" fontId="8" fillId="0" borderId="0" xfId="0" applyFont="1" applyAlignment="1">
      <alignment horizontal="center"/>
    </xf>
    <xf numFmtId="0" fontId="8" fillId="0" borderId="8" xfId="0" applyFont="1" applyBorder="1" applyAlignment="1">
      <alignment horizontal="center"/>
    </xf>
    <xf numFmtId="49" fontId="8" fillId="0" borderId="32" xfId="0" applyNumberFormat="1" applyFont="1" applyBorder="1" applyAlignment="1">
      <alignment horizontal="center"/>
    </xf>
    <xf numFmtId="0" fontId="7" fillId="0" borderId="41" xfId="0" applyFont="1" applyBorder="1"/>
    <xf numFmtId="164" fontId="7" fillId="0" borderId="12" xfId="1" applyNumberFormat="1" applyFont="1" applyBorder="1" applyAlignment="1">
      <alignment horizontal="center"/>
    </xf>
    <xf numFmtId="165" fontId="7" fillId="2" borderId="10" xfId="1" applyNumberFormat="1" applyFont="1" applyFill="1" applyBorder="1"/>
    <xf numFmtId="166" fontId="7" fillId="0" borderId="10" xfId="0" applyNumberFormat="1" applyFont="1" applyBorder="1"/>
    <xf numFmtId="3" fontId="7" fillId="0" borderId="10" xfId="0" applyNumberFormat="1" applyFont="1" applyBorder="1"/>
    <xf numFmtId="167" fontId="7" fillId="0" borderId="10" xfId="0" applyNumberFormat="1" applyFont="1" applyBorder="1"/>
    <xf numFmtId="165" fontId="7" fillId="2" borderId="10" xfId="0" applyNumberFormat="1" applyFont="1" applyFill="1" applyBorder="1" applyAlignment="1">
      <alignment horizontal="right"/>
    </xf>
    <xf numFmtId="165" fontId="7" fillId="0" borderId="10" xfId="0" applyNumberFormat="1" applyFont="1" applyBorder="1"/>
    <xf numFmtId="3" fontId="7" fillId="0" borderId="42" xfId="0" applyNumberFormat="1" applyFont="1" applyBorder="1"/>
    <xf numFmtId="0" fontId="0" fillId="0" borderId="0" xfId="0" applyAlignment="1"/>
    <xf numFmtId="0" fontId="7" fillId="0" borderId="45" xfId="0" applyFont="1" applyBorder="1"/>
    <xf numFmtId="164" fontId="7" fillId="0" borderId="3" xfId="1" applyNumberFormat="1" applyFont="1" applyBorder="1" applyAlignment="1">
      <alignment horizontal="center"/>
    </xf>
    <xf numFmtId="165" fontId="7" fillId="2" borderId="4" xfId="1" applyNumberFormat="1" applyFont="1" applyFill="1" applyBorder="1"/>
    <xf numFmtId="166" fontId="7" fillId="0" borderId="4" xfId="0" applyNumberFormat="1" applyFont="1" applyBorder="1"/>
    <xf numFmtId="3" fontId="13" fillId="0" borderId="4" xfId="0" applyNumberFormat="1" applyFont="1" applyBorder="1" applyAlignment="1">
      <alignment horizontal="right" vertical="center" wrapText="1"/>
    </xf>
    <xf numFmtId="167" fontId="7" fillId="0" borderId="4" xfId="0" applyNumberFormat="1" applyFont="1" applyBorder="1"/>
    <xf numFmtId="165" fontId="7" fillId="2" borderId="4" xfId="0" applyNumberFormat="1" applyFont="1" applyFill="1" applyBorder="1" applyAlignment="1">
      <alignment horizontal="right"/>
    </xf>
    <xf numFmtId="3" fontId="7" fillId="0" borderId="4" xfId="0" applyNumberFormat="1" applyFont="1" applyBorder="1"/>
    <xf numFmtId="165" fontId="7" fillId="0" borderId="4" xfId="0" applyNumberFormat="1" applyFont="1" applyBorder="1"/>
    <xf numFmtId="3" fontId="7" fillId="0" borderId="1" xfId="0" applyNumberFormat="1" applyFont="1" applyBorder="1"/>
    <xf numFmtId="0" fontId="7" fillId="0" borderId="48" xfId="0" applyFont="1" applyBorder="1"/>
    <xf numFmtId="164" fontId="7" fillId="0" borderId="7" xfId="1" applyNumberFormat="1" applyFont="1" applyBorder="1" applyAlignment="1">
      <alignment horizontal="center"/>
    </xf>
    <xf numFmtId="165" fontId="7" fillId="2" borderId="5" xfId="1" applyNumberFormat="1" applyFont="1" applyFill="1" applyBorder="1"/>
    <xf numFmtId="166" fontId="7" fillId="0" borderId="5" xfId="0" applyNumberFormat="1" applyFont="1" applyBorder="1"/>
    <xf numFmtId="3" fontId="7" fillId="0" borderId="5" xfId="0" applyNumberFormat="1" applyFont="1" applyBorder="1"/>
    <xf numFmtId="167" fontId="7" fillId="0" borderId="5" xfId="0" applyNumberFormat="1" applyFont="1" applyBorder="1"/>
    <xf numFmtId="165" fontId="7" fillId="2" borderId="5" xfId="0" applyNumberFormat="1" applyFont="1" applyFill="1" applyBorder="1" applyAlignment="1">
      <alignment horizontal="right"/>
    </xf>
    <xf numFmtId="165" fontId="7" fillId="0" borderId="5" xfId="0" applyNumberFormat="1" applyFont="1" applyBorder="1"/>
    <xf numFmtId="3" fontId="7" fillId="0" borderId="26" xfId="0" applyNumberFormat="1" applyFont="1" applyBorder="1"/>
    <xf numFmtId="0" fontId="8" fillId="0" borderId="49" xfId="0" applyFont="1" applyBorder="1"/>
    <xf numFmtId="164" fontId="8" fillId="0" borderId="50" xfId="1" applyNumberFormat="1" applyFont="1" applyBorder="1" applyAlignment="1">
      <alignment horizontal="center"/>
    </xf>
    <xf numFmtId="165" fontId="8" fillId="2" borderId="51" xfId="1" applyNumberFormat="1" applyFont="1" applyFill="1" applyBorder="1"/>
    <xf numFmtId="2" fontId="8" fillId="0" borderId="51" xfId="0" applyNumberFormat="1" applyFont="1" applyBorder="1"/>
    <xf numFmtId="3" fontId="8" fillId="0" borderId="51" xfId="0" applyNumberFormat="1" applyFont="1" applyBorder="1"/>
    <xf numFmtId="4" fontId="8" fillId="0" borderId="51" xfId="0" applyNumberFormat="1" applyFont="1" applyBorder="1"/>
    <xf numFmtId="165" fontId="8" fillId="2" borderId="51" xfId="0" applyNumberFormat="1" applyFont="1" applyFill="1" applyBorder="1" applyAlignment="1">
      <alignment horizontal="right"/>
    </xf>
    <xf numFmtId="166" fontId="7" fillId="0" borderId="51" xfId="0" applyNumberFormat="1" applyFont="1" applyBorder="1"/>
    <xf numFmtId="4" fontId="7" fillId="0" borderId="51" xfId="0" applyNumberFormat="1" applyFont="1" applyBorder="1"/>
    <xf numFmtId="3" fontId="7" fillId="0" borderId="51" xfId="0" applyNumberFormat="1" applyFont="1" applyBorder="1"/>
    <xf numFmtId="165" fontId="7" fillId="0" borderId="51" xfId="0" applyNumberFormat="1" applyFont="1" applyBorder="1"/>
    <xf numFmtId="3" fontId="7" fillId="0" borderId="52" xfId="0" applyNumberFormat="1" applyFont="1" applyBorder="1"/>
    <xf numFmtId="0" fontId="7" fillId="0" borderId="0" xfId="0" applyFont="1" applyAlignment="1"/>
    <xf numFmtId="0" fontId="7" fillId="0" borderId="0" xfId="0" applyFont="1" applyAlignment="1">
      <alignment horizontal="center"/>
    </xf>
    <xf numFmtId="165" fontId="0" fillId="0" borderId="0" xfId="0" applyNumberFormat="1"/>
    <xf numFmtId="166" fontId="0" fillId="0" borderId="0" xfId="0" applyNumberFormat="1"/>
    <xf numFmtId="0" fontId="6" fillId="0" borderId="60" xfId="0" applyFont="1" applyFill="1" applyBorder="1"/>
    <xf numFmtId="164" fontId="6" fillId="0" borderId="43" xfId="1" applyNumberFormat="1" applyFont="1" applyFill="1" applyBorder="1" applyAlignment="1">
      <alignment horizontal="center"/>
    </xf>
    <xf numFmtId="165" fontId="6" fillId="0" borderId="44" xfId="1" applyNumberFormat="1" applyFont="1" applyFill="1" applyBorder="1"/>
    <xf numFmtId="3" fontId="6" fillId="0" borderId="43" xfId="0" applyNumberFormat="1" applyFont="1" applyFill="1" applyBorder="1"/>
    <xf numFmtId="166" fontId="6" fillId="0" borderId="10" xfId="0" applyNumberFormat="1" applyFont="1" applyFill="1" applyBorder="1"/>
    <xf numFmtId="167" fontId="6" fillId="0" borderId="10" xfId="0" applyNumberFormat="1" applyFont="1" applyFill="1" applyBorder="1"/>
    <xf numFmtId="165" fontId="6" fillId="0" borderId="44" xfId="0" applyNumberFormat="1" applyFont="1" applyFill="1" applyBorder="1" applyAlignment="1">
      <alignment horizontal="right"/>
    </xf>
    <xf numFmtId="165" fontId="6" fillId="0" borderId="43" xfId="0" applyNumberFormat="1" applyFont="1" applyFill="1" applyBorder="1" applyAlignment="1">
      <alignment horizontal="right"/>
    </xf>
    <xf numFmtId="165" fontId="6" fillId="0" borderId="10" xfId="0" applyNumberFormat="1" applyFont="1" applyFill="1" applyBorder="1" applyAlignment="1">
      <alignment horizontal="right"/>
    </xf>
    <xf numFmtId="3" fontId="6" fillId="0" borderId="44" xfId="0" applyNumberFormat="1" applyFont="1" applyFill="1" applyBorder="1"/>
    <xf numFmtId="165" fontId="6" fillId="0" borderId="12" xfId="0" applyNumberFormat="1" applyFont="1" applyFill="1" applyBorder="1"/>
    <xf numFmtId="3" fontId="6" fillId="0" borderId="42" xfId="0" applyNumberFormat="1" applyFont="1" applyFill="1" applyBorder="1"/>
    <xf numFmtId="165" fontId="6"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6" fillId="0" borderId="46" xfId="1" applyNumberFormat="1" applyFont="1" applyFill="1" applyBorder="1" applyAlignment="1">
      <alignment horizontal="center"/>
    </xf>
    <xf numFmtId="166" fontId="6" fillId="0" borderId="4" xfId="0" applyNumberFormat="1" applyFont="1" applyFill="1" applyBorder="1"/>
    <xf numFmtId="165" fontId="6" fillId="0" borderId="3" xfId="0" applyNumberFormat="1" applyFont="1" applyFill="1" applyBorder="1"/>
    <xf numFmtId="0" fontId="6" fillId="0" borderId="62" xfId="0" applyFont="1" applyFill="1" applyBorder="1"/>
    <xf numFmtId="0" fontId="5" fillId="0" borderId="59" xfId="0" applyFont="1" applyFill="1" applyBorder="1"/>
    <xf numFmtId="0" fontId="7" fillId="0" borderId="0" xfId="0" applyFont="1" applyFill="1"/>
    <xf numFmtId="0" fontId="7" fillId="0" borderId="0" xfId="0" applyFont="1" applyFill="1" applyAlignment="1">
      <alignment horizontal="center"/>
    </xf>
    <xf numFmtId="0" fontId="7" fillId="0" borderId="0" xfId="0" applyFont="1" applyBorder="1" applyAlignment="1">
      <alignment horizontal="center" vertical="center"/>
    </xf>
    <xf numFmtId="0" fontId="4" fillId="0" borderId="0" xfId="0" applyFont="1"/>
    <xf numFmtId="0" fontId="8" fillId="0" borderId="5" xfId="0" applyFont="1" applyBorder="1" applyAlignment="1">
      <alignment horizontal="center"/>
    </xf>
    <xf numFmtId="0" fontId="8" fillId="0" borderId="17" xfId="0" applyFont="1" applyBorder="1" applyAlignment="1">
      <alignment wrapText="1"/>
    </xf>
    <xf numFmtId="0" fontId="8" fillId="0" borderId="0" xfId="0" applyFont="1" applyBorder="1" applyAlignment="1"/>
    <xf numFmtId="9" fontId="8" fillId="0" borderId="0" xfId="0" applyNumberFormat="1" applyFont="1" applyBorder="1" applyAlignment="1">
      <alignment horizontal="center"/>
    </xf>
    <xf numFmtId="49" fontId="8" fillId="0" borderId="59" xfId="0" applyNumberFormat="1" applyFont="1" applyBorder="1" applyAlignment="1">
      <alignment horizontal="center"/>
    </xf>
    <xf numFmtId="49" fontId="8" fillId="0" borderId="11" xfId="0" applyNumberFormat="1" applyFont="1" applyBorder="1" applyAlignment="1">
      <alignment horizontal="center"/>
    </xf>
    <xf numFmtId="49" fontId="8" fillId="0" borderId="22" xfId="0" applyNumberFormat="1" applyFont="1" applyBorder="1" applyAlignment="1">
      <alignment horizontal="center"/>
    </xf>
    <xf numFmtId="49" fontId="8" fillId="0" borderId="65" xfId="0" applyNumberFormat="1" applyFont="1" applyBorder="1" applyAlignment="1">
      <alignment horizontal="center"/>
    </xf>
    <xf numFmtId="49" fontId="7" fillId="0" borderId="39" xfId="0" applyNumberFormat="1" applyFont="1" applyBorder="1" applyAlignment="1">
      <alignment horizontal="center"/>
    </xf>
    <xf numFmtId="49" fontId="8" fillId="0" borderId="67" xfId="0" applyNumberFormat="1" applyFont="1" applyFill="1" applyBorder="1" applyAlignment="1">
      <alignment horizontal="center"/>
    </xf>
    <xf numFmtId="49" fontId="8" fillId="0" borderId="68" xfId="0" applyNumberFormat="1" applyFont="1" applyBorder="1" applyAlignment="1">
      <alignment horizontal="center"/>
    </xf>
    <xf numFmtId="0" fontId="8" fillId="0" borderId="64" xfId="0" applyFont="1" applyBorder="1" applyAlignment="1">
      <alignment horizontal="center" vertical="center"/>
    </xf>
    <xf numFmtId="0" fontId="7" fillId="0" borderId="57" xfId="0" applyFont="1" applyFill="1" applyBorder="1"/>
    <xf numFmtId="164" fontId="7" fillId="0" borderId="0" xfId="1" applyNumberFormat="1" applyFont="1" applyBorder="1" applyAlignment="1">
      <alignment horizontal="center"/>
    </xf>
    <xf numFmtId="3" fontId="7" fillId="0" borderId="57" xfId="0" applyNumberFormat="1" applyFont="1" applyBorder="1"/>
    <xf numFmtId="3" fontId="7" fillId="0" borderId="69" xfId="0" applyNumberFormat="1" applyFont="1" applyFill="1" applyBorder="1"/>
    <xf numFmtId="3" fontId="7" fillId="0" borderId="0" xfId="0" applyNumberFormat="1" applyFont="1" applyBorder="1"/>
    <xf numFmtId="167" fontId="0" fillId="0" borderId="0" xfId="0" applyNumberFormat="1"/>
    <xf numFmtId="4" fontId="0" fillId="0" borderId="0" xfId="0" applyNumberFormat="1"/>
    <xf numFmtId="167" fontId="4" fillId="0" borderId="0" xfId="0" applyNumberFormat="1" applyFont="1"/>
    <xf numFmtId="0" fontId="8" fillId="0" borderId="57" xfId="0" applyFont="1" applyFill="1" applyBorder="1"/>
    <xf numFmtId="164" fontId="8" fillId="0" borderId="0" xfId="1" applyNumberFormat="1" applyFont="1" applyFill="1" applyBorder="1" applyAlignment="1">
      <alignment horizontal="center"/>
    </xf>
    <xf numFmtId="3" fontId="8" fillId="0" borderId="0" xfId="0" applyNumberFormat="1" applyFont="1" applyFill="1" applyBorder="1"/>
    <xf numFmtId="3" fontId="8" fillId="0" borderId="57" xfId="0" applyNumberFormat="1" applyFont="1" applyBorder="1"/>
    <xf numFmtId="4" fontId="0" fillId="0" borderId="0" xfId="0" applyNumberFormat="1" applyFill="1"/>
    <xf numFmtId="0" fontId="4" fillId="0" borderId="0" xfId="0" applyFont="1" applyFill="1"/>
    <xf numFmtId="167" fontId="4" fillId="0" borderId="0" xfId="0" applyNumberFormat="1" applyFont="1" applyFill="1"/>
    <xf numFmtId="164" fontId="7" fillId="0" borderId="0" xfId="1" applyNumberFormat="1" applyFont="1" applyFill="1" applyBorder="1" applyAlignment="1">
      <alignment horizontal="center"/>
    </xf>
    <xf numFmtId="3" fontId="7" fillId="0" borderId="0" xfId="0" applyNumberFormat="1" applyFont="1" applyFill="1" applyBorder="1"/>
    <xf numFmtId="0" fontId="7" fillId="0" borderId="59" xfId="0" applyFont="1" applyFill="1" applyBorder="1"/>
    <xf numFmtId="3" fontId="8" fillId="0" borderId="51" xfId="0" applyNumberFormat="1" applyFont="1" applyFill="1" applyBorder="1"/>
    <xf numFmtId="4" fontId="7" fillId="0" borderId="0" xfId="0" applyNumberFormat="1" applyFont="1"/>
    <xf numFmtId="0" fontId="8" fillId="0" borderId="5" xfId="0"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xf>
    <xf numFmtId="49" fontId="8" fillId="0" borderId="10" xfId="0" applyNumberFormat="1" applyFont="1" applyBorder="1" applyAlignment="1">
      <alignment horizontal="center"/>
    </xf>
    <xf numFmtId="0" fontId="7" fillId="0" borderId="26" xfId="0" applyFont="1" applyBorder="1"/>
    <xf numFmtId="164" fontId="7" fillId="0" borderId="6" xfId="1" applyNumberFormat="1" applyFont="1" applyBorder="1" applyAlignment="1">
      <alignment horizontal="center"/>
    </xf>
    <xf numFmtId="4" fontId="7" fillId="0" borderId="6" xfId="0" applyNumberFormat="1" applyFont="1" applyBorder="1"/>
    <xf numFmtId="0" fontId="7" fillId="0" borderId="69" xfId="0" applyFont="1" applyBorder="1"/>
    <xf numFmtId="4" fontId="7" fillId="0" borderId="0" xfId="0" applyNumberFormat="1" applyFont="1" applyBorder="1"/>
    <xf numFmtId="0" fontId="8" fillId="0" borderId="4" xfId="0" applyFont="1" applyBorder="1"/>
    <xf numFmtId="164" fontId="8" fillId="0" borderId="4" xfId="1" applyNumberFormat="1" applyFont="1" applyBorder="1" applyAlignment="1">
      <alignment horizontal="center"/>
    </xf>
    <xf numFmtId="0" fontId="8" fillId="0" borderId="0" xfId="0" applyFont="1" applyFill="1" applyBorder="1" applyAlignment="1">
      <alignment horizontal="center"/>
    </xf>
    <xf numFmtId="0" fontId="7" fillId="0" borderId="13" xfId="0" applyFont="1" applyBorder="1"/>
    <xf numFmtId="2" fontId="0" fillId="0" borderId="0" xfId="0" applyNumberFormat="1"/>
    <xf numFmtId="0" fontId="7" fillId="0" borderId="23" xfId="0" applyFont="1" applyBorder="1"/>
    <xf numFmtId="0" fontId="7" fillId="0" borderId="31" xfId="0" applyFont="1" applyBorder="1"/>
    <xf numFmtId="0" fontId="8" fillId="0" borderId="20" xfId="0" applyFont="1" applyBorder="1"/>
    <xf numFmtId="0" fontId="7" fillId="0" borderId="0" xfId="0" applyFont="1" applyBorder="1"/>
    <xf numFmtId="0" fontId="7" fillId="0" borderId="0" xfId="0" applyFont="1" applyBorder="1" applyAlignment="1">
      <alignment horizontal="center"/>
    </xf>
    <xf numFmtId="0" fontId="0" fillId="0" borderId="0" xfId="0" applyBorder="1"/>
    <xf numFmtId="49" fontId="14" fillId="3" borderId="57" xfId="0" applyNumberFormat="1" applyFont="1" applyFill="1" applyBorder="1" applyAlignment="1">
      <alignment horizontal="center"/>
    </xf>
    <xf numFmtId="0" fontId="0" fillId="3" borderId="0" xfId="0" applyFill="1"/>
    <xf numFmtId="167" fontId="0" fillId="3" borderId="0" xfId="0" applyNumberFormat="1" applyFill="1"/>
    <xf numFmtId="3" fontId="8" fillId="0" borderId="49" xfId="0" applyNumberFormat="1" applyFont="1" applyFill="1" applyBorder="1" applyAlignment="1"/>
    <xf numFmtId="49" fontId="8"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Border="1"/>
    <xf numFmtId="0" fontId="7" fillId="0" borderId="0" xfId="0" applyFont="1" applyFill="1" applyBorder="1" applyAlignment="1">
      <alignment horizontal="center"/>
    </xf>
    <xf numFmtId="44" fontId="8" fillId="0" borderId="0" xfId="0" applyNumberFormat="1" applyFont="1" applyFill="1" applyBorder="1" applyAlignment="1">
      <alignment horizontal="center"/>
    </xf>
    <xf numFmtId="2" fontId="0" fillId="0" borderId="0" xfId="0" applyNumberFormat="1" applyBorder="1"/>
    <xf numFmtId="3" fontId="8" fillId="0" borderId="0" xfId="0" applyNumberFormat="1" applyFont="1" applyBorder="1"/>
    <xf numFmtId="167" fontId="8" fillId="0" borderId="0" xfId="0" applyNumberFormat="1" applyFont="1" applyBorder="1"/>
    <xf numFmtId="4" fontId="7" fillId="0" borderId="0" xfId="0" applyNumberFormat="1" applyFont="1" applyAlignment="1"/>
    <xf numFmtId="44" fontId="7" fillId="0" borderId="0" xfId="0" applyNumberFormat="1" applyFont="1"/>
    <xf numFmtId="3" fontId="7" fillId="0" borderId="8" xfId="0" applyNumberFormat="1" applyFont="1" applyFill="1" applyBorder="1"/>
    <xf numFmtId="0" fontId="8" fillId="0" borderId="0" xfId="0" applyFont="1" applyAlignment="1">
      <alignment horizontal="center"/>
    </xf>
    <xf numFmtId="0" fontId="8" fillId="0" borderId="0" xfId="0" applyFont="1" applyBorder="1" applyAlignment="1">
      <alignment horizontal="center"/>
    </xf>
    <xf numFmtId="0" fontId="8" fillId="0" borderId="32" xfId="0" applyFont="1" applyFill="1" applyBorder="1" applyAlignment="1">
      <alignment horizontal="center"/>
    </xf>
    <xf numFmtId="3" fontId="7" fillId="0" borderId="36" xfId="0" applyNumberFormat="1" applyFont="1" applyFill="1" applyBorder="1"/>
    <xf numFmtId="3" fontId="7" fillId="0" borderId="37" xfId="0" applyNumberFormat="1" applyFont="1" applyFill="1" applyBorder="1"/>
    <xf numFmtId="0" fontId="7" fillId="0" borderId="31" xfId="0" applyFont="1" applyFill="1" applyBorder="1"/>
    <xf numFmtId="0" fontId="8" fillId="0" borderId="63" xfId="0" applyFont="1" applyFill="1" applyBorder="1" applyAlignment="1">
      <alignment horizontal="center"/>
    </xf>
    <xf numFmtId="3" fontId="7" fillId="0" borderId="34" xfId="0" applyNumberFormat="1" applyFont="1" applyFill="1" applyBorder="1"/>
    <xf numFmtId="3" fontId="7" fillId="0" borderId="38" xfId="0" applyNumberFormat="1" applyFont="1" applyFill="1" applyBorder="1"/>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12" xfId="0" applyFont="1" applyBorder="1" applyAlignment="1">
      <alignment horizontal="center" vertical="center" wrapText="1"/>
    </xf>
    <xf numFmtId="166" fontId="7" fillId="0" borderId="0" xfId="0" applyNumberFormat="1" applyFont="1"/>
    <xf numFmtId="167" fontId="7" fillId="0" borderId="6" xfId="0" applyNumberFormat="1" applyFont="1" applyBorder="1"/>
    <xf numFmtId="44" fontId="7" fillId="0" borderId="8" xfId="1" applyFont="1" applyBorder="1"/>
    <xf numFmtId="164" fontId="7" fillId="0" borderId="0" xfId="1" applyNumberFormat="1" applyFont="1" applyBorder="1"/>
    <xf numFmtId="167" fontId="7" fillId="0" borderId="9" xfId="0" applyNumberFormat="1" applyFont="1" applyBorder="1"/>
    <xf numFmtId="3" fontId="13" fillId="0" borderId="0" xfId="0" applyNumberFormat="1" applyFont="1" applyBorder="1" applyAlignment="1">
      <alignment horizontal="right" vertical="center" wrapText="1"/>
    </xf>
    <xf numFmtId="3" fontId="7" fillId="0" borderId="54" xfId="0" applyNumberFormat="1" applyFont="1" applyBorder="1"/>
    <xf numFmtId="4" fontId="7" fillId="0" borderId="3" xfId="0" applyNumberFormat="1" applyFont="1" applyBorder="1"/>
    <xf numFmtId="4" fontId="7" fillId="0" borderId="4" xfId="0" applyNumberFormat="1" applyFont="1" applyBorder="1"/>
    <xf numFmtId="44" fontId="7" fillId="0" borderId="4" xfId="1" applyFont="1" applyBorder="1"/>
    <xf numFmtId="44" fontId="8" fillId="0" borderId="0" xfId="1" applyFont="1" applyBorder="1"/>
    <xf numFmtId="170" fontId="8" fillId="0" borderId="0" xfId="0" applyNumberFormat="1" applyFont="1" applyBorder="1"/>
    <xf numFmtId="167" fontId="7" fillId="0" borderId="51" xfId="0" applyNumberFormat="1" applyFont="1" applyBorder="1" applyAlignment="1">
      <alignment horizontal="right"/>
    </xf>
    <xf numFmtId="167" fontId="7" fillId="0" borderId="51" xfId="0" applyNumberFormat="1" applyFont="1" applyBorder="1"/>
    <xf numFmtId="0" fontId="8" fillId="0" borderId="0" xfId="0" applyFont="1" applyAlignment="1">
      <alignment horizontal="center"/>
    </xf>
    <xf numFmtId="3" fontId="0" fillId="0" borderId="0" xfId="0" applyNumberFormat="1"/>
    <xf numFmtId="0" fontId="8" fillId="0" borderId="0" xfId="0" applyFont="1" applyAlignment="1">
      <alignment horizontal="center"/>
    </xf>
    <xf numFmtId="0" fontId="8" fillId="0" borderId="4" xfId="0" applyFont="1" applyBorder="1" applyAlignment="1">
      <alignment horizontal="center"/>
    </xf>
    <xf numFmtId="0" fontId="7" fillId="0" borderId="0" xfId="0" applyFont="1" applyAlignment="1">
      <alignment horizontal="center" vertical="center"/>
    </xf>
    <xf numFmtId="166" fontId="8" fillId="0" borderId="33" xfId="0" applyNumberFormat="1" applyFont="1" applyBorder="1" applyAlignment="1">
      <alignment horizontal="center"/>
    </xf>
    <xf numFmtId="166" fontId="8" fillId="0" borderId="68" xfId="0" applyNumberFormat="1" applyFont="1" applyBorder="1" applyAlignment="1">
      <alignment horizontal="center"/>
    </xf>
    <xf numFmtId="0" fontId="8" fillId="0" borderId="35" xfId="0" applyFont="1" applyBorder="1" applyAlignment="1">
      <alignment horizontal="center"/>
    </xf>
    <xf numFmtId="0" fontId="7" fillId="0" borderId="55" xfId="0" applyFont="1" applyBorder="1" applyAlignment="1">
      <alignment horizontal="center" vertical="center"/>
    </xf>
    <xf numFmtId="44" fontId="7" fillId="0" borderId="14" xfId="1" applyFont="1" applyBorder="1"/>
    <xf numFmtId="166" fontId="7" fillId="0" borderId="14" xfId="0" applyNumberFormat="1" applyFont="1" applyBorder="1"/>
    <xf numFmtId="3" fontId="22" fillId="0" borderId="14" xfId="0" applyNumberFormat="1" applyFont="1" applyBorder="1" applyAlignment="1">
      <alignment horizontal="right" vertical="center" wrapText="1"/>
    </xf>
    <xf numFmtId="0" fontId="0" fillId="0" borderId="58" xfId="0" applyBorder="1"/>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7" fillId="0" borderId="57" xfId="0" applyFont="1" applyBorder="1" applyAlignment="1">
      <alignment horizontal="center" vertical="center"/>
    </xf>
    <xf numFmtId="166" fontId="7" fillId="0" borderId="23" xfId="0" applyNumberFormat="1" applyFont="1" applyFill="1" applyBorder="1" applyAlignment="1">
      <alignment horizontal="center"/>
    </xf>
    <xf numFmtId="166" fontId="7" fillId="0" borderId="0" xfId="0" applyNumberFormat="1" applyFont="1" applyFill="1" applyBorder="1" applyAlignment="1">
      <alignment horizontal="center"/>
    </xf>
    <xf numFmtId="0" fontId="0" fillId="0" borderId="30" xfId="0" applyFill="1" applyBorder="1"/>
    <xf numFmtId="4" fontId="7" fillId="0" borderId="30" xfId="0" applyNumberFormat="1" applyFont="1" applyFill="1" applyBorder="1" applyAlignment="1">
      <alignment horizontal="right"/>
    </xf>
    <xf numFmtId="0" fontId="7" fillId="0" borderId="0" xfId="0" applyFont="1" applyFill="1" applyBorder="1" applyAlignment="1">
      <alignment horizontal="left"/>
    </xf>
    <xf numFmtId="0" fontId="7" fillId="0" borderId="0" xfId="0" applyFont="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59" xfId="0" applyFont="1" applyBorder="1" applyAlignment="1">
      <alignment horizontal="center" vertical="center"/>
    </xf>
    <xf numFmtId="4" fontId="17" fillId="0" borderId="0" xfId="0" applyNumberFormat="1" applyFont="1" applyFill="1" applyBorder="1" applyAlignment="1">
      <alignment horizontal="right"/>
    </xf>
    <xf numFmtId="4" fontId="20" fillId="0" borderId="0" xfId="0" applyNumberFormat="1" applyFont="1" applyBorder="1"/>
    <xf numFmtId="0" fontId="8" fillId="0" borderId="2" xfId="0" applyFont="1" applyBorder="1" applyAlignment="1">
      <alignment horizontal="center"/>
    </xf>
    <xf numFmtId="0" fontId="8" fillId="4" borderId="4" xfId="0" applyFont="1" applyFill="1" applyBorder="1" applyAlignment="1">
      <alignment horizontal="center"/>
    </xf>
    <xf numFmtId="3" fontId="23" fillId="0" borderId="4" xfId="0" applyNumberFormat="1" applyFont="1" applyBorder="1"/>
    <xf numFmtId="3" fontId="8" fillId="0" borderId="4" xfId="0" applyNumberFormat="1" applyFont="1" applyBorder="1"/>
    <xf numFmtId="169" fontId="8" fillId="0" borderId="4" xfId="0" applyNumberFormat="1" applyFont="1" applyBorder="1"/>
    <xf numFmtId="167" fontId="7" fillId="0" borderId="0" xfId="0" applyNumberFormat="1" applyFont="1" applyAlignment="1">
      <alignment horizontal="center"/>
    </xf>
    <xf numFmtId="3" fontId="8" fillId="4" borderId="4" xfId="0" applyNumberFormat="1" applyFont="1" applyFill="1" applyBorder="1"/>
    <xf numFmtId="4" fontId="7" fillId="0" borderId="0" xfId="0" applyNumberFormat="1"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vertical="center"/>
    </xf>
    <xf numFmtId="3" fontId="5" fillId="0" borderId="53" xfId="0" applyNumberFormat="1" applyFont="1" applyFill="1" applyBorder="1"/>
    <xf numFmtId="166" fontId="5" fillId="0" borderId="51" xfId="0" applyNumberFormat="1" applyFont="1" applyFill="1" applyBorder="1"/>
    <xf numFmtId="169" fontId="5" fillId="0" borderId="51" xfId="0" applyNumberFormat="1" applyFont="1" applyFill="1" applyBorder="1"/>
    <xf numFmtId="165" fontId="5" fillId="0" borderId="54" xfId="0" applyNumberFormat="1" applyFont="1" applyFill="1" applyBorder="1" applyAlignment="1">
      <alignment horizontal="right"/>
    </xf>
    <xf numFmtId="165" fontId="5" fillId="0" borderId="53" xfId="0" applyNumberFormat="1" applyFont="1" applyFill="1" applyBorder="1" applyAlignment="1">
      <alignment horizontal="right"/>
    </xf>
    <xf numFmtId="165" fontId="5" fillId="0" borderId="51" xfId="0" applyNumberFormat="1" applyFont="1" applyFill="1" applyBorder="1" applyAlignment="1">
      <alignment horizontal="right"/>
    </xf>
    <xf numFmtId="167" fontId="5" fillId="0" borderId="51" xfId="0" applyNumberFormat="1" applyFont="1" applyFill="1" applyBorder="1"/>
    <xf numFmtId="3" fontId="5" fillId="0" borderId="54" xfId="0" applyNumberFormat="1" applyFont="1" applyFill="1" applyBorder="1"/>
    <xf numFmtId="165" fontId="5" fillId="0" borderId="53" xfId="0" applyNumberFormat="1" applyFont="1" applyFill="1" applyBorder="1"/>
    <xf numFmtId="0" fontId="8" fillId="0" borderId="9" xfId="0" applyFont="1" applyBorder="1" applyAlignment="1">
      <alignment horizontal="center"/>
    </xf>
    <xf numFmtId="166" fontId="7" fillId="0" borderId="6" xfId="0" applyNumberFormat="1" applyFont="1" applyBorder="1"/>
    <xf numFmtId="165" fontId="7" fillId="0" borderId="0" xfId="1" applyNumberFormat="1" applyFont="1" applyBorder="1"/>
    <xf numFmtId="44" fontId="8" fillId="0" borderId="4" xfId="1" applyFont="1" applyBorder="1"/>
    <xf numFmtId="0" fontId="0" fillId="0" borderId="0" xfId="0"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xf>
    <xf numFmtId="4" fontId="7" fillId="0" borderId="69" xfId="0" applyNumberFormat="1" applyFont="1" applyBorder="1" applyAlignment="1">
      <alignment horizontal="center"/>
    </xf>
    <xf numFmtId="170" fontId="0" fillId="0" borderId="0" xfId="0" applyNumberFormat="1"/>
    <xf numFmtId="170" fontId="24" fillId="0" borderId="0" xfId="0" applyNumberFormat="1" applyFont="1"/>
    <xf numFmtId="4" fontId="7" fillId="0" borderId="0" xfId="0" applyNumberFormat="1" applyFont="1" applyBorder="1" applyAlignment="1">
      <alignment horizontal="center"/>
    </xf>
    <xf numFmtId="168" fontId="8" fillId="0" borderId="2" xfId="1" applyNumberFormat="1" applyFont="1" applyBorder="1"/>
    <xf numFmtId="171" fontId="8" fillId="0" borderId="3" xfId="1" applyNumberFormat="1" applyFont="1" applyBorder="1"/>
    <xf numFmtId="4" fontId="8" fillId="0" borderId="4" xfId="0" applyNumberFormat="1" applyFont="1" applyBorder="1" applyAlignment="1">
      <alignment horizontal="center"/>
    </xf>
    <xf numFmtId="167" fontId="8" fillId="0" borderId="4" xfId="0" applyNumberFormat="1" applyFont="1" applyBorder="1" applyAlignment="1">
      <alignment horizontal="center"/>
    </xf>
    <xf numFmtId="3" fontId="8" fillId="0" borderId="4" xfId="0" applyNumberFormat="1" applyFont="1" applyBorder="1" applyAlignment="1">
      <alignment horizontal="right"/>
    </xf>
    <xf numFmtId="3" fontId="7" fillId="5" borderId="4" xfId="0" applyNumberFormat="1" applyFont="1" applyFill="1" applyBorder="1"/>
    <xf numFmtId="3" fontId="8" fillId="5" borderId="4" xfId="0" applyNumberFormat="1" applyFont="1" applyFill="1" applyBorder="1"/>
    <xf numFmtId="0" fontId="0" fillId="5" borderId="0" xfId="0" applyFill="1"/>
    <xf numFmtId="0" fontId="8" fillId="0" borderId="72" xfId="0" applyFont="1" applyBorder="1" applyAlignment="1">
      <alignment horizontal="center"/>
    </xf>
    <xf numFmtId="0" fontId="8" fillId="2" borderId="72" xfId="0" applyFont="1" applyFill="1" applyBorder="1" applyAlignment="1">
      <alignment horizontal="center"/>
    </xf>
    <xf numFmtId="0" fontId="8" fillId="2" borderId="58" xfId="0" applyFont="1" applyFill="1" applyBorder="1" applyAlignment="1">
      <alignment horizontal="center"/>
    </xf>
    <xf numFmtId="0" fontId="8" fillId="2" borderId="9" xfId="0" applyFont="1" applyFill="1" applyBorder="1" applyAlignment="1">
      <alignment horizontal="center"/>
    </xf>
    <xf numFmtId="0" fontId="8" fillId="2" borderId="30" xfId="0" applyFont="1" applyFill="1" applyBorder="1" applyAlignment="1">
      <alignment horizontal="center"/>
    </xf>
    <xf numFmtId="170" fontId="7" fillId="0" borderId="0" xfId="0" applyNumberFormat="1" applyFont="1"/>
    <xf numFmtId="49" fontId="8" fillId="0" borderId="4" xfId="0" applyNumberFormat="1" applyFont="1" applyBorder="1" applyAlignment="1">
      <alignment horizontal="center"/>
    </xf>
    <xf numFmtId="49" fontId="8" fillId="0" borderId="12" xfId="0" applyNumberFormat="1" applyFont="1" applyBorder="1" applyAlignment="1">
      <alignment horizontal="center"/>
    </xf>
    <xf numFmtId="49" fontId="8" fillId="2" borderId="12" xfId="0" applyNumberFormat="1" applyFont="1" applyFill="1" applyBorder="1" applyAlignment="1">
      <alignment horizontal="center"/>
    </xf>
    <xf numFmtId="0" fontId="8" fillId="2" borderId="12" xfId="0" applyFont="1" applyFill="1" applyBorder="1" applyAlignment="1">
      <alignment horizontal="center"/>
    </xf>
    <xf numFmtId="0" fontId="8" fillId="2" borderId="78" xfId="0" applyFont="1" applyFill="1" applyBorder="1" applyAlignment="1">
      <alignment horizontal="center"/>
    </xf>
    <xf numFmtId="167" fontId="7" fillId="0" borderId="0" xfId="1" applyNumberFormat="1" applyFont="1" applyBorder="1"/>
    <xf numFmtId="4" fontId="7" fillId="2" borderId="0" xfId="0" applyNumberFormat="1" applyFont="1" applyFill="1" applyBorder="1"/>
    <xf numFmtId="3" fontId="7" fillId="2" borderId="0" xfId="0" applyNumberFormat="1" applyFont="1" applyFill="1" applyBorder="1"/>
    <xf numFmtId="166" fontId="7" fillId="2" borderId="0" xfId="0" applyNumberFormat="1" applyFont="1" applyFill="1" applyBorder="1"/>
    <xf numFmtId="3" fontId="7" fillId="2" borderId="27" xfId="0" applyNumberFormat="1" applyFont="1" applyFill="1" applyBorder="1"/>
    <xf numFmtId="170" fontId="26" fillId="0" borderId="0" xfId="0" applyNumberFormat="1" applyFont="1"/>
    <xf numFmtId="3" fontId="7" fillId="2" borderId="30" xfId="0" applyNumberFormat="1" applyFont="1" applyFill="1" applyBorder="1"/>
    <xf numFmtId="166" fontId="7" fillId="0" borderId="0" xfId="0" applyNumberFormat="1" applyFont="1" applyFill="1" applyBorder="1"/>
    <xf numFmtId="167" fontId="7" fillId="0" borderId="22" xfId="1" applyNumberFormat="1" applyFont="1" applyBorder="1"/>
    <xf numFmtId="165" fontId="7" fillId="0" borderId="22" xfId="1" applyNumberFormat="1" applyFont="1" applyBorder="1"/>
    <xf numFmtId="167" fontId="7" fillId="0" borderId="22" xfId="0" applyNumberFormat="1" applyFont="1" applyBorder="1"/>
    <xf numFmtId="3" fontId="7" fillId="0" borderId="22" xfId="0" applyNumberFormat="1" applyFont="1" applyBorder="1"/>
    <xf numFmtId="4" fontId="7" fillId="0" borderId="22" xfId="0" applyNumberFormat="1" applyFont="1" applyBorder="1"/>
    <xf numFmtId="166" fontId="7" fillId="0" borderId="22" xfId="0" applyNumberFormat="1" applyFont="1" applyBorder="1"/>
    <xf numFmtId="4" fontId="7" fillId="2" borderId="22" xfId="0" applyNumberFormat="1" applyFont="1" applyFill="1" applyBorder="1"/>
    <xf numFmtId="3" fontId="7" fillId="2" borderId="22" xfId="0" applyNumberFormat="1" applyFont="1" applyFill="1" applyBorder="1"/>
    <xf numFmtId="166" fontId="7" fillId="2" borderId="22" xfId="0" applyNumberFormat="1" applyFont="1" applyFill="1" applyBorder="1"/>
    <xf numFmtId="3" fontId="7" fillId="2" borderId="40" xfId="0" applyNumberFormat="1" applyFont="1" applyFill="1" applyBorder="1"/>
    <xf numFmtId="0" fontId="8" fillId="0" borderId="53" xfId="0" applyFont="1" applyBorder="1"/>
    <xf numFmtId="164" fontId="8" fillId="0" borderId="51" xfId="1" applyNumberFormat="1" applyFont="1" applyBorder="1"/>
    <xf numFmtId="165" fontId="8" fillId="0" borderId="51" xfId="1" applyNumberFormat="1" applyFont="1" applyBorder="1"/>
    <xf numFmtId="4" fontId="8" fillId="2" borderId="51" xfId="0" applyNumberFormat="1" applyFont="1" applyFill="1" applyBorder="1"/>
    <xf numFmtId="4" fontId="7" fillId="2" borderId="56" xfId="0" applyNumberFormat="1" applyFont="1" applyFill="1" applyBorder="1"/>
    <xf numFmtId="3" fontId="8" fillId="2" borderId="51" xfId="0" applyNumberFormat="1" applyFont="1" applyFill="1" applyBorder="1" applyAlignment="1">
      <alignment horizontal="right"/>
    </xf>
    <xf numFmtId="4" fontId="8" fillId="2" borderId="51" xfId="0" applyNumberFormat="1" applyFont="1" applyFill="1" applyBorder="1" applyAlignment="1">
      <alignment horizontal="right"/>
    </xf>
    <xf numFmtId="3" fontId="8" fillId="2" borderId="54" xfId="0" applyNumberFormat="1" applyFont="1" applyFill="1" applyBorder="1"/>
    <xf numFmtId="164" fontId="8" fillId="0" borderId="0" xfId="1" applyNumberFormat="1" applyFont="1" applyBorder="1" applyAlignment="1">
      <alignment horizontal="center"/>
    </xf>
    <xf numFmtId="7" fontId="7" fillId="0" borderId="0" xfId="0" applyNumberFormat="1" applyFont="1"/>
    <xf numFmtId="0" fontId="7" fillId="0" borderId="4" xfId="0" applyFont="1" applyBorder="1"/>
    <xf numFmtId="44" fontId="7" fillId="0" borderId="6" xfId="1" applyFont="1" applyBorder="1"/>
    <xf numFmtId="44" fontId="27" fillId="0" borderId="0" xfId="0" applyNumberFormat="1" applyFont="1"/>
    <xf numFmtId="44" fontId="7" fillId="0" borderId="0" xfId="1" applyFont="1" applyBorder="1"/>
    <xf numFmtId="44" fontId="26" fillId="0" borderId="0" xfId="0" applyNumberFormat="1" applyFont="1"/>
    <xf numFmtId="170" fontId="8" fillId="0" borderId="4" xfId="0" applyNumberFormat="1" applyFont="1" applyBorder="1"/>
    <xf numFmtId="44" fontId="8" fillId="0" borderId="4" xfId="0" applyNumberFormat="1" applyFont="1" applyBorder="1"/>
    <xf numFmtId="164" fontId="8" fillId="0" borderId="4" xfId="0" applyNumberFormat="1" applyFont="1" applyBorder="1"/>
    <xf numFmtId="164" fontId="8" fillId="0" borderId="0" xfId="0" applyNumberFormat="1" applyFont="1" applyBorder="1"/>
    <xf numFmtId="167" fontId="8" fillId="0" borderId="51" xfId="0" applyNumberFormat="1" applyFont="1" applyBorder="1"/>
    <xf numFmtId="172" fontId="8" fillId="0" borderId="51" xfId="0" applyNumberFormat="1" applyFont="1" applyBorder="1"/>
    <xf numFmtId="4" fontId="7" fillId="6" borderId="0" xfId="0" applyNumberFormat="1" applyFont="1" applyFill="1" applyBorder="1"/>
    <xf numFmtId="4" fontId="7" fillId="6" borderId="22" xfId="0" applyNumberFormat="1" applyFont="1" applyFill="1" applyBorder="1"/>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6" xfId="0" applyNumberFormat="1" applyFont="1" applyBorder="1" applyAlignment="1">
      <alignment horizontal="center"/>
    </xf>
    <xf numFmtId="165" fontId="0" fillId="0" borderId="0" xfId="0" applyNumberFormat="1" applyAlignment="1">
      <alignment horizontal="center"/>
    </xf>
    <xf numFmtId="49" fontId="16" fillId="0" borderId="59" xfId="0" applyNumberFormat="1" applyFont="1" applyFill="1" applyBorder="1" applyAlignment="1">
      <alignment horizontal="center" vertical="center" wrapText="1"/>
    </xf>
    <xf numFmtId="49" fontId="10" fillId="0" borderId="31" xfId="0" applyNumberFormat="1" applyFont="1" applyBorder="1" applyAlignment="1">
      <alignment horizontal="center"/>
    </xf>
    <xf numFmtId="164" fontId="6" fillId="0" borderId="24" xfId="1" applyNumberFormat="1" applyFont="1" applyFill="1" applyBorder="1" applyAlignment="1">
      <alignment horizontal="center"/>
    </xf>
    <xf numFmtId="165" fontId="6" fillId="0" borderId="29" xfId="1" applyNumberFormat="1" applyFont="1" applyFill="1" applyBorder="1"/>
    <xf numFmtId="3" fontId="6" fillId="0" borderId="24" xfId="0" applyNumberFormat="1" applyFont="1" applyFill="1" applyBorder="1"/>
    <xf numFmtId="166" fontId="6" fillId="0" borderId="5" xfId="0" applyNumberFormat="1" applyFont="1" applyFill="1" applyBorder="1"/>
    <xf numFmtId="167" fontId="6" fillId="0" borderId="5" xfId="0" applyNumberFormat="1" applyFont="1" applyFill="1" applyBorder="1"/>
    <xf numFmtId="165" fontId="6" fillId="0" borderId="29" xfId="0" applyNumberFormat="1" applyFont="1" applyFill="1" applyBorder="1" applyAlignment="1">
      <alignment horizontal="right"/>
    </xf>
    <xf numFmtId="165" fontId="6" fillId="0" borderId="24" xfId="0" applyNumberFormat="1" applyFont="1" applyFill="1" applyBorder="1" applyAlignment="1">
      <alignment horizontal="right"/>
    </xf>
    <xf numFmtId="165" fontId="6" fillId="0" borderId="5" xfId="0" applyNumberFormat="1" applyFont="1" applyFill="1" applyBorder="1" applyAlignment="1">
      <alignment horizontal="right"/>
    </xf>
    <xf numFmtId="3" fontId="6" fillId="0" borderId="29" xfId="0" applyNumberFormat="1" applyFont="1" applyFill="1" applyBorder="1"/>
    <xf numFmtId="165" fontId="6" fillId="0" borderId="7" xfId="0" applyNumberFormat="1" applyFont="1" applyFill="1" applyBorder="1"/>
    <xf numFmtId="3" fontId="6" fillId="0" borderId="69" xfId="0" applyNumberFormat="1" applyFont="1" applyFill="1" applyBorder="1"/>
    <xf numFmtId="165" fontId="6" fillId="0" borderId="48" xfId="0" applyNumberFormat="1" applyFont="1" applyFill="1" applyBorder="1"/>
    <xf numFmtId="165" fontId="5" fillId="0" borderId="49" xfId="0" applyNumberFormat="1" applyFont="1" applyFill="1" applyBorder="1"/>
    <xf numFmtId="167" fontId="8" fillId="0" borderId="51" xfId="0" applyNumberFormat="1" applyFont="1" applyFill="1" applyBorder="1"/>
    <xf numFmtId="3" fontId="8" fillId="0" borderId="52" xfId="0" applyNumberFormat="1" applyFont="1" applyFill="1" applyBorder="1"/>
    <xf numFmtId="3" fontId="8" fillId="0" borderId="54" xfId="0" applyNumberFormat="1" applyFont="1" applyFill="1" applyBorder="1"/>
    <xf numFmtId="0" fontId="8" fillId="0" borderId="11" xfId="0" applyFont="1" applyBorder="1" applyAlignment="1"/>
    <xf numFmtId="0" fontId="28" fillId="0" borderId="0" xfId="2"/>
    <xf numFmtId="0" fontId="32" fillId="0" borderId="49" xfId="2" applyFont="1" applyFill="1" applyBorder="1" applyAlignment="1">
      <alignment horizontal="center" vertical="center" wrapText="1"/>
    </xf>
    <xf numFmtId="0" fontId="32" fillId="0" borderId="56" xfId="2" applyFont="1" applyFill="1" applyBorder="1" applyAlignment="1">
      <alignment horizontal="center" vertical="center" wrapText="1"/>
    </xf>
    <xf numFmtId="0" fontId="32" fillId="0" borderId="21" xfId="2" applyFont="1" applyFill="1" applyBorder="1" applyAlignment="1">
      <alignment horizontal="center" vertical="center" wrapText="1"/>
    </xf>
    <xf numFmtId="0" fontId="32" fillId="0" borderId="57" xfId="2" applyFont="1" applyBorder="1"/>
    <xf numFmtId="10" fontId="32" fillId="0" borderId="55" xfId="2" applyNumberFormat="1" applyFont="1" applyBorder="1" applyAlignment="1">
      <alignment horizontal="right"/>
    </xf>
    <xf numFmtId="3" fontId="32" fillId="0" borderId="57" xfId="2" applyNumberFormat="1" applyFont="1" applyBorder="1"/>
    <xf numFmtId="3" fontId="32" fillId="0" borderId="0" xfId="2" applyNumberFormat="1" applyFont="1" applyBorder="1"/>
    <xf numFmtId="3" fontId="32" fillId="0" borderId="55" xfId="2" applyNumberFormat="1" applyFont="1" applyBorder="1"/>
    <xf numFmtId="3" fontId="32" fillId="0" borderId="30" xfId="2" applyNumberFormat="1" applyFont="1" applyBorder="1"/>
    <xf numFmtId="10" fontId="32" fillId="0" borderId="57" xfId="2" applyNumberFormat="1" applyFont="1" applyBorder="1" applyAlignment="1">
      <alignment horizontal="right"/>
    </xf>
    <xf numFmtId="10" fontId="32" fillId="0" borderId="59" xfId="2" applyNumberFormat="1" applyFont="1" applyBorder="1" applyAlignment="1">
      <alignment horizontal="right"/>
    </xf>
    <xf numFmtId="3" fontId="32" fillId="0" borderId="59" xfId="2" applyNumberFormat="1" applyFont="1" applyBorder="1"/>
    <xf numFmtId="0" fontId="32" fillId="0" borderId="49" xfId="2" applyFont="1" applyBorder="1"/>
    <xf numFmtId="10" fontId="32" fillId="0" borderId="49" xfId="2" applyNumberFormat="1" applyFont="1" applyBorder="1" applyAlignment="1">
      <alignment horizontal="right"/>
    </xf>
    <xf numFmtId="3" fontId="33" fillId="0" borderId="49" xfId="2" applyNumberFormat="1" applyFont="1" applyBorder="1"/>
    <xf numFmtId="0" fontId="7" fillId="0" borderId="70" xfId="0" applyFont="1" applyBorder="1"/>
    <xf numFmtId="164" fontId="7" fillId="0" borderId="71" xfId="1" applyNumberFormat="1" applyFont="1" applyBorder="1" applyAlignment="1">
      <alignment horizontal="center"/>
    </xf>
    <xf numFmtId="165" fontId="7" fillId="0" borderId="8" xfId="1" applyNumberFormat="1" applyFont="1" applyBorder="1"/>
    <xf numFmtId="167" fontId="7" fillId="0" borderId="71" xfId="0" applyNumberFormat="1" applyFont="1" applyBorder="1"/>
    <xf numFmtId="3" fontId="7" fillId="0" borderId="8" xfId="0" applyNumberFormat="1" applyFont="1" applyFill="1" applyBorder="1" applyAlignment="1">
      <alignment horizontal="right"/>
    </xf>
    <xf numFmtId="0" fontId="7" fillId="0" borderId="28" xfId="0" applyFont="1" applyBorder="1"/>
    <xf numFmtId="164" fontId="7" fillId="0" borderId="8" xfId="1" applyNumberFormat="1" applyFont="1" applyBorder="1" applyAlignment="1">
      <alignment horizontal="center"/>
    </xf>
    <xf numFmtId="167" fontId="7" fillId="0" borderId="8" xfId="0" applyNumberFormat="1" applyFont="1" applyBorder="1"/>
    <xf numFmtId="0" fontId="7" fillId="0" borderId="34" xfId="0" applyFont="1" applyBorder="1"/>
    <xf numFmtId="164" fontId="7" fillId="0" borderId="36" xfId="1" applyNumberFormat="1" applyFont="1" applyBorder="1" applyAlignment="1">
      <alignment horizontal="center"/>
    </xf>
    <xf numFmtId="165" fontId="7" fillId="0" borderId="36" xfId="1" applyNumberFormat="1" applyFont="1" applyBorder="1"/>
    <xf numFmtId="167" fontId="7" fillId="0" borderId="36" xfId="0" applyNumberFormat="1" applyFont="1" applyBorder="1"/>
    <xf numFmtId="164" fontId="8" fillId="0" borderId="51" xfId="1" applyNumberFormat="1" applyFont="1" applyBorder="1" applyAlignment="1">
      <alignment horizontal="center"/>
    </xf>
    <xf numFmtId="3" fontId="8" fillId="0" borderId="51" xfId="0" applyNumberFormat="1" applyFont="1" applyFill="1" applyBorder="1" applyAlignment="1">
      <alignment horizontal="right"/>
    </xf>
    <xf numFmtId="165" fontId="8" fillId="0" borderId="54" xfId="0" applyNumberFormat="1" applyFont="1" applyFill="1" applyBorder="1" applyAlignment="1">
      <alignment horizontal="right"/>
    </xf>
    <xf numFmtId="0" fontId="8" fillId="0" borderId="71" xfId="0" applyFont="1" applyFill="1" applyBorder="1" applyAlignment="1">
      <alignment horizontal="center"/>
    </xf>
    <xf numFmtId="0" fontId="8" fillId="0" borderId="8" xfId="0" applyFont="1" applyFill="1" applyBorder="1" applyAlignment="1">
      <alignment horizontal="center"/>
    </xf>
    <xf numFmtId="49" fontId="8" fillId="0" borderId="8"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7" fillId="0" borderId="71" xfId="0" applyNumberFormat="1" applyFont="1" applyBorder="1"/>
    <xf numFmtId="167" fontId="7" fillId="0" borderId="71" xfId="0" applyNumberFormat="1" applyFont="1" applyBorder="1" applyAlignment="1">
      <alignment horizontal="right"/>
    </xf>
    <xf numFmtId="3" fontId="7" fillId="0" borderId="8" xfId="0" applyNumberFormat="1" applyFont="1" applyBorder="1" applyAlignment="1">
      <alignment horizontal="right"/>
    </xf>
    <xf numFmtId="3" fontId="7" fillId="0" borderId="29" xfId="0" applyNumberFormat="1" applyFont="1" applyBorder="1" applyAlignment="1">
      <alignment horizontal="right"/>
    </xf>
    <xf numFmtId="3" fontId="7" fillId="0" borderId="8" xfId="0" applyNumberFormat="1" applyFont="1" applyBorder="1"/>
    <xf numFmtId="167" fontId="7" fillId="0" borderId="8" xfId="0" applyNumberFormat="1" applyFont="1" applyBorder="1" applyAlignment="1">
      <alignment horizontal="right"/>
    </xf>
    <xf numFmtId="167" fontId="7" fillId="0" borderId="36" xfId="0" applyNumberFormat="1" applyFont="1" applyBorder="1" applyAlignment="1">
      <alignment horizontal="right"/>
    </xf>
    <xf numFmtId="3" fontId="8" fillId="0" borderId="36" xfId="0" applyNumberFormat="1" applyFont="1" applyBorder="1"/>
    <xf numFmtId="168" fontId="8" fillId="0" borderId="36" xfId="1" applyNumberFormat="1" applyFont="1" applyBorder="1"/>
    <xf numFmtId="3" fontId="8" fillId="0" borderId="51" xfId="0" applyNumberFormat="1" applyFont="1" applyBorder="1" applyAlignment="1">
      <alignment horizontal="right"/>
    </xf>
    <xf numFmtId="3" fontId="8" fillId="0" borderId="54" xfId="0" applyNumberFormat="1" applyFont="1" applyBorder="1" applyAlignment="1">
      <alignment horizontal="right"/>
    </xf>
    <xf numFmtId="49" fontId="14" fillId="0" borderId="36" xfId="0" applyNumberFormat="1" applyFont="1" applyFill="1" applyBorder="1" applyAlignment="1">
      <alignment horizontal="center"/>
    </xf>
    <xf numFmtId="0" fontId="14" fillId="0" borderId="36" xfId="0" applyFont="1" applyFill="1" applyBorder="1" applyAlignment="1">
      <alignment horizontal="center"/>
    </xf>
    <xf numFmtId="49" fontId="14" fillId="0" borderId="37" xfId="0" applyNumberFormat="1" applyFont="1" applyFill="1" applyBorder="1" applyAlignment="1">
      <alignment horizontal="center"/>
    </xf>
    <xf numFmtId="0" fontId="7" fillId="0" borderId="70" xfId="0" applyFont="1" applyFill="1" applyBorder="1"/>
    <xf numFmtId="164" fontId="7" fillId="0" borderId="8" xfId="1" applyNumberFormat="1" applyFont="1" applyFill="1" applyBorder="1" applyAlignment="1">
      <alignment horizontal="right"/>
    </xf>
    <xf numFmtId="165" fontId="7" fillId="0" borderId="8" xfId="1" applyNumberFormat="1" applyFont="1" applyFill="1" applyBorder="1"/>
    <xf numFmtId="4" fontId="7" fillId="0" borderId="8" xfId="0" applyNumberFormat="1" applyFont="1" applyFill="1" applyBorder="1"/>
    <xf numFmtId="166" fontId="7" fillId="0" borderId="8" xfId="0" applyNumberFormat="1" applyFont="1" applyFill="1" applyBorder="1"/>
    <xf numFmtId="167" fontId="7" fillId="0" borderId="8" xfId="0" applyNumberFormat="1" applyFont="1" applyFill="1" applyBorder="1"/>
    <xf numFmtId="3" fontId="7" fillId="0" borderId="8" xfId="0" applyNumberFormat="1" applyFont="1" applyFill="1" applyBorder="1" applyAlignment="1"/>
    <xf numFmtId="3" fontId="7" fillId="0" borderId="29" xfId="0" applyNumberFormat="1" applyFont="1" applyFill="1" applyBorder="1" applyAlignment="1"/>
    <xf numFmtId="0" fontId="7" fillId="0" borderId="28" xfId="0" applyFont="1" applyFill="1" applyBorder="1"/>
    <xf numFmtId="164" fontId="7" fillId="0" borderId="36" xfId="1" applyNumberFormat="1" applyFont="1" applyFill="1" applyBorder="1" applyAlignment="1">
      <alignment horizontal="right"/>
    </xf>
    <xf numFmtId="165" fontId="7" fillId="0" borderId="36" xfId="1" applyNumberFormat="1" applyFont="1" applyFill="1" applyBorder="1"/>
    <xf numFmtId="4" fontId="7" fillId="0" borderId="36" xfId="0" applyNumberFormat="1" applyFont="1" applyFill="1" applyBorder="1"/>
    <xf numFmtId="166" fontId="7" fillId="0" borderId="36" xfId="0" applyNumberFormat="1" applyFont="1" applyFill="1" applyBorder="1"/>
    <xf numFmtId="167" fontId="7" fillId="0" borderId="36" xfId="0" applyNumberFormat="1" applyFont="1" applyFill="1" applyBorder="1"/>
    <xf numFmtId="3" fontId="7" fillId="0" borderId="36" xfId="0" applyNumberFormat="1" applyFont="1" applyFill="1" applyBorder="1" applyAlignment="1"/>
    <xf numFmtId="3" fontId="7" fillId="0" borderId="37" xfId="0" applyNumberFormat="1" applyFont="1" applyFill="1" applyBorder="1" applyAlignment="1"/>
    <xf numFmtId="0" fontId="7" fillId="0" borderId="53" xfId="0" applyFont="1" applyFill="1" applyBorder="1"/>
    <xf numFmtId="164" fontId="8" fillId="0" borderId="51" xfId="1" applyNumberFormat="1" applyFont="1" applyFill="1" applyBorder="1" applyAlignment="1">
      <alignment horizontal="center"/>
    </xf>
    <xf numFmtId="165" fontId="8" fillId="0" borderId="51" xfId="1" applyNumberFormat="1" applyFont="1" applyFill="1" applyBorder="1"/>
    <xf numFmtId="4" fontId="8" fillId="0" borderId="36" xfId="0" applyNumberFormat="1" applyFont="1" applyFill="1" applyBorder="1"/>
    <xf numFmtId="166" fontId="8" fillId="0" borderId="36" xfId="0" applyNumberFormat="1" applyFont="1" applyFill="1" applyBorder="1"/>
    <xf numFmtId="3" fontId="8" fillId="0" borderId="51" xfId="0" applyNumberFormat="1" applyFont="1" applyFill="1" applyBorder="1" applyAlignment="1"/>
    <xf numFmtId="3" fontId="8" fillId="0" borderId="54" xfId="0" applyNumberFormat="1" applyFont="1" applyFill="1" applyBorder="1" applyAlignment="1"/>
    <xf numFmtId="0" fontId="8" fillId="0" borderId="71" xfId="0" applyFont="1" applyBorder="1" applyAlignment="1">
      <alignment horizontal="center" vertical="center" wrapText="1"/>
    </xf>
    <xf numFmtId="9" fontId="8" fillId="0" borderId="8" xfId="0" applyNumberFormat="1" applyFont="1" applyBorder="1" applyAlignment="1">
      <alignment horizontal="center" vertical="center" wrapText="1"/>
    </xf>
    <xf numFmtId="166" fontId="7" fillId="0" borderId="8" xfId="0" applyNumberFormat="1" applyFont="1" applyBorder="1"/>
    <xf numFmtId="3" fontId="7" fillId="0" borderId="29" xfId="0" applyNumberFormat="1" applyFont="1" applyBorder="1"/>
    <xf numFmtId="3" fontId="7" fillId="0" borderId="13" xfId="0" applyNumberFormat="1" applyFont="1" applyFill="1" applyBorder="1"/>
    <xf numFmtId="3" fontId="7" fillId="0" borderId="70" xfId="0" applyNumberFormat="1" applyFont="1" applyFill="1" applyBorder="1"/>
    <xf numFmtId="3" fontId="7" fillId="0" borderId="71" xfId="0" applyNumberFormat="1" applyFont="1" applyFill="1" applyBorder="1"/>
    <xf numFmtId="3" fontId="7" fillId="0" borderId="66" xfId="0" applyNumberFormat="1" applyFont="1" applyFill="1" applyBorder="1"/>
    <xf numFmtId="3" fontId="7" fillId="0" borderId="72" xfId="0" applyNumberFormat="1" applyFont="1" applyFill="1" applyBorder="1"/>
    <xf numFmtId="3" fontId="7" fillId="0" borderId="23" xfId="0" applyNumberFormat="1" applyFont="1" applyFill="1" applyBorder="1"/>
    <xf numFmtId="3" fontId="7" fillId="0" borderId="28" xfId="0" applyNumberFormat="1" applyFont="1" applyFill="1" applyBorder="1"/>
    <xf numFmtId="3" fontId="7" fillId="0" borderId="29" xfId="0" applyNumberFormat="1" applyFont="1" applyFill="1" applyBorder="1"/>
    <xf numFmtId="3" fontId="7" fillId="0" borderId="9" xfId="0" applyNumberFormat="1" applyFont="1" applyFill="1" applyBorder="1"/>
    <xf numFmtId="3" fontId="7" fillId="0" borderId="31" xfId="0" applyNumberFormat="1" applyFont="1" applyFill="1" applyBorder="1"/>
    <xf numFmtId="0" fontId="8" fillId="0" borderId="64" xfId="0" applyFont="1" applyFill="1" applyBorder="1" applyAlignment="1">
      <alignment horizontal="center"/>
    </xf>
    <xf numFmtId="3" fontId="7" fillId="0" borderId="66" xfId="0" applyNumberFormat="1" applyFont="1" applyBorder="1"/>
    <xf numFmtId="3" fontId="13" fillId="0" borderId="29" xfId="0" applyNumberFormat="1" applyFont="1" applyBorder="1" applyAlignment="1">
      <alignment horizontal="right" vertical="center" wrapText="1"/>
    </xf>
    <xf numFmtId="3" fontId="8" fillId="0" borderId="54" xfId="0" applyNumberFormat="1" applyFont="1" applyBorder="1"/>
    <xf numFmtId="0" fontId="7" fillId="0" borderId="20" xfId="0" applyFont="1" applyBorder="1"/>
    <xf numFmtId="9" fontId="8" fillId="0" borderId="28" xfId="0" applyNumberFormat="1" applyFont="1" applyBorder="1" applyAlignment="1">
      <alignment horizontal="center" vertical="center" wrapText="1"/>
    </xf>
    <xf numFmtId="166" fontId="7" fillId="0" borderId="28" xfId="0" applyNumberFormat="1" applyFont="1" applyBorder="1"/>
    <xf numFmtId="167" fontId="7" fillId="0" borderId="53" xfId="0" applyNumberFormat="1" applyFont="1" applyBorder="1" applyAlignment="1">
      <alignment horizontal="right"/>
    </xf>
    <xf numFmtId="49" fontId="8" fillId="0" borderId="64" xfId="0" applyNumberFormat="1" applyFont="1" applyFill="1" applyBorder="1" applyAlignment="1">
      <alignment horizontal="center"/>
    </xf>
    <xf numFmtId="0" fontId="8" fillId="0" borderId="44" xfId="0" applyFont="1" applyFill="1" applyBorder="1" applyAlignment="1">
      <alignment horizontal="center"/>
    </xf>
    <xf numFmtId="165" fontId="7" fillId="0" borderId="66" xfId="0" applyNumberFormat="1" applyFont="1" applyFill="1" applyBorder="1" applyAlignment="1">
      <alignment horizontal="right"/>
    </xf>
    <xf numFmtId="165" fontId="7" fillId="0" borderId="29" xfId="0" applyNumberFormat="1" applyFont="1" applyFill="1" applyBorder="1" applyAlignment="1">
      <alignment horizontal="right"/>
    </xf>
    <xf numFmtId="3" fontId="8" fillId="0" borderId="29" xfId="0" applyNumberFormat="1" applyFont="1" applyFill="1" applyBorder="1"/>
    <xf numFmtId="49" fontId="8" fillId="0" borderId="63" xfId="0" applyNumberFormat="1" applyFont="1" applyBorder="1" applyAlignment="1">
      <alignment horizontal="center"/>
    </xf>
    <xf numFmtId="49" fontId="8" fillId="0" borderId="64" xfId="0" applyNumberFormat="1" applyFont="1" applyBorder="1" applyAlignment="1">
      <alignment horizontal="center"/>
    </xf>
    <xf numFmtId="0" fontId="8" fillId="0" borderId="28" xfId="0" applyFont="1" applyBorder="1" applyAlignment="1">
      <alignment horizontal="center"/>
    </xf>
    <xf numFmtId="0" fontId="8" fillId="0" borderId="29" xfId="0" applyFont="1" applyFill="1" applyBorder="1" applyAlignment="1">
      <alignment horizontal="center"/>
    </xf>
    <xf numFmtId="49" fontId="8" fillId="0" borderId="43" xfId="0" applyNumberFormat="1" applyFont="1" applyBorder="1" applyAlignment="1">
      <alignment horizontal="center"/>
    </xf>
    <xf numFmtId="0" fontId="8" fillId="0" borderId="10" xfId="0" applyFont="1" applyBorder="1" applyAlignment="1">
      <alignment horizontal="center" vertical="center"/>
    </xf>
    <xf numFmtId="49" fontId="8" fillId="0" borderId="44" xfId="0" applyNumberFormat="1" applyFont="1" applyFill="1" applyBorder="1" applyAlignment="1">
      <alignment horizontal="center"/>
    </xf>
    <xf numFmtId="0" fontId="8" fillId="0" borderId="29" xfId="0" applyFont="1" applyFill="1" applyBorder="1" applyAlignment="1">
      <alignment horizontal="center" wrapText="1"/>
    </xf>
    <xf numFmtId="49" fontId="8" fillId="0" borderId="42" xfId="0" applyNumberFormat="1" applyFont="1" applyBorder="1" applyAlignment="1">
      <alignment horizontal="center"/>
    </xf>
    <xf numFmtId="0" fontId="8" fillId="0" borderId="5" xfId="0" applyFont="1" applyFill="1" applyBorder="1" applyAlignment="1">
      <alignment horizontal="center" vertical="center"/>
    </xf>
    <xf numFmtId="49" fontId="8" fillId="0" borderId="10" xfId="0" applyNumberFormat="1" applyFont="1" applyFill="1" applyBorder="1" applyAlignment="1">
      <alignment horizontal="center"/>
    </xf>
    <xf numFmtId="49" fontId="8" fillId="0" borderId="62" xfId="0" applyNumberFormat="1" applyFont="1" applyFill="1" applyBorder="1" applyAlignment="1">
      <alignment horizontal="center"/>
    </xf>
    <xf numFmtId="0" fontId="8" fillId="0" borderId="25" xfId="0" applyFont="1" applyFill="1" applyBorder="1" applyAlignment="1">
      <alignment horizontal="center" vertical="center"/>
    </xf>
    <xf numFmtId="49" fontId="8" fillId="0" borderId="46" xfId="0" applyNumberFormat="1" applyFont="1" applyBorder="1" applyAlignment="1">
      <alignment horizontal="center"/>
    </xf>
    <xf numFmtId="49" fontId="8" fillId="0" borderId="47" xfId="0" applyNumberFormat="1" applyFont="1" applyFill="1" applyBorder="1" applyAlignment="1">
      <alignment horizontal="center"/>
    </xf>
    <xf numFmtId="167" fontId="7" fillId="0" borderId="71" xfId="0" applyNumberFormat="1" applyFont="1" applyFill="1" applyBorder="1"/>
    <xf numFmtId="4" fontId="7" fillId="0" borderId="66" xfId="0" applyNumberFormat="1" applyFont="1" applyFill="1" applyBorder="1"/>
    <xf numFmtId="4" fontId="7" fillId="0" borderId="29" xfId="0" applyNumberFormat="1" applyFont="1" applyFill="1" applyBorder="1"/>
    <xf numFmtId="3" fontId="8" fillId="0" borderId="28" xfId="0" applyNumberFormat="1" applyFont="1" applyFill="1" applyBorder="1"/>
    <xf numFmtId="167" fontId="8" fillId="0" borderId="8" xfId="0" applyNumberFormat="1" applyFont="1" applyFill="1" applyBorder="1"/>
    <xf numFmtId="3" fontId="8" fillId="0" borderId="53" xfId="0" applyNumberFormat="1" applyFont="1" applyFill="1" applyBorder="1"/>
    <xf numFmtId="3" fontId="7" fillId="0" borderId="73" xfId="0" applyNumberFormat="1" applyFont="1" applyFill="1" applyBorder="1"/>
    <xf numFmtId="164" fontId="8" fillId="0" borderId="56" xfId="1" applyNumberFormat="1" applyFont="1" applyFill="1" applyBorder="1" applyAlignment="1">
      <alignment horizontal="center"/>
    </xf>
    <xf numFmtId="0" fontId="7" fillId="0" borderId="45" xfId="0" applyFont="1" applyBorder="1" applyAlignment="1">
      <alignment horizontal="center" vertical="center"/>
    </xf>
    <xf numFmtId="0" fontId="8"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1" xfId="0" applyFont="1" applyBorder="1" applyAlignment="1">
      <alignment horizontal="center" vertical="center"/>
    </xf>
    <xf numFmtId="0" fontId="10" fillId="0" borderId="24" xfId="0" applyFont="1" applyFill="1" applyBorder="1" applyAlignment="1">
      <alignment horizontal="center"/>
    </xf>
    <xf numFmtId="0" fontId="10" fillId="0" borderId="5" xfId="0" applyFont="1" applyFill="1" applyBorder="1" applyAlignment="1">
      <alignment horizontal="center"/>
    </xf>
    <xf numFmtId="0" fontId="10" fillId="0" borderId="28" xfId="0" applyFont="1" applyFill="1" applyBorder="1" applyAlignment="1">
      <alignment horizontal="center"/>
    </xf>
    <xf numFmtId="0" fontId="10" fillId="0" borderId="8" xfId="0" applyFont="1" applyFill="1" applyBorder="1" applyAlignment="1">
      <alignment horizontal="center"/>
    </xf>
    <xf numFmtId="9" fontId="10" fillId="0" borderId="8" xfId="0" applyNumberFormat="1" applyFont="1" applyFill="1" applyBorder="1" applyAlignment="1">
      <alignment horizontal="center"/>
    </xf>
    <xf numFmtId="49" fontId="10" fillId="0" borderId="34" xfId="0" applyNumberFormat="1" applyFont="1" applyFill="1" applyBorder="1" applyAlignment="1">
      <alignment horizontal="center"/>
    </xf>
    <xf numFmtId="49" fontId="10" fillId="0" borderId="36" xfId="0" applyNumberFormat="1" applyFont="1" applyFill="1" applyBorder="1" applyAlignment="1">
      <alignment horizontal="center"/>
    </xf>
    <xf numFmtId="49" fontId="10" fillId="0" borderId="37" xfId="0" applyNumberFormat="1" applyFont="1" applyFill="1" applyBorder="1" applyAlignment="1">
      <alignment horizontal="center"/>
    </xf>
    <xf numFmtId="3" fontId="10" fillId="0" borderId="28" xfId="0" applyNumberFormat="1" applyFont="1" applyFill="1" applyBorder="1" applyAlignment="1">
      <alignment horizontal="center"/>
    </xf>
    <xf numFmtId="4" fontId="10" fillId="0" borderId="8" xfId="0" applyNumberFormat="1" applyFont="1" applyFill="1" applyBorder="1" applyAlignment="1">
      <alignment horizontal="center" vertical="center" wrapText="1"/>
    </xf>
    <xf numFmtId="0" fontId="10" fillId="0" borderId="36" xfId="0" applyFont="1" applyFill="1" applyBorder="1" applyAlignment="1">
      <alignment horizontal="center"/>
    </xf>
    <xf numFmtId="49" fontId="16" fillId="0" borderId="36"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164" fontId="5" fillId="0" borderId="53" xfId="1" applyNumberFormat="1" applyFont="1" applyFill="1" applyBorder="1" applyAlignment="1">
      <alignment horizontal="center"/>
    </xf>
    <xf numFmtId="165" fontId="5" fillId="0" borderId="54" xfId="1" applyNumberFormat="1" applyFont="1" applyFill="1" applyBorder="1"/>
    <xf numFmtId="167" fontId="0" fillId="0" borderId="0" xfId="0" applyNumberFormat="1" applyFill="1" applyBorder="1"/>
    <xf numFmtId="0" fontId="34" fillId="0" borderId="0" xfId="0" applyFont="1" applyFill="1"/>
    <xf numFmtId="0" fontId="34" fillId="0" borderId="0" xfId="0" applyFont="1" applyFill="1" applyAlignment="1">
      <alignment horizontal="center"/>
    </xf>
    <xf numFmtId="4" fontId="34" fillId="0" borderId="0" xfId="0" applyNumberFormat="1" applyFont="1" applyFill="1" applyAlignment="1">
      <alignment horizontal="center"/>
    </xf>
    <xf numFmtId="0" fontId="19" fillId="0" borderId="0" xfId="0" applyFont="1" applyFill="1"/>
    <xf numFmtId="0" fontId="19" fillId="0" borderId="0" xfId="0" applyFont="1"/>
    <xf numFmtId="0" fontId="34" fillId="0" borderId="0" xfId="0" applyFont="1" applyBorder="1" applyAlignment="1">
      <alignment horizontal="center" vertical="center"/>
    </xf>
    <xf numFmtId="0" fontId="19" fillId="0" borderId="0" xfId="0" applyFont="1" applyAlignment="1"/>
    <xf numFmtId="0" fontId="18" fillId="0" borderId="0" xfId="0" applyFont="1"/>
    <xf numFmtId="0" fontId="18" fillId="0" borderId="0" xfId="0" applyFont="1" applyAlignment="1"/>
    <xf numFmtId="0" fontId="18" fillId="0" borderId="0" xfId="0" applyFont="1" applyFill="1"/>
    <xf numFmtId="0" fontId="36" fillId="0" borderId="0" xfId="0" applyFont="1" applyFill="1" applyAlignment="1"/>
    <xf numFmtId="0" fontId="35" fillId="0" borderId="0" xfId="0" applyFont="1" applyFill="1" applyBorder="1" applyAlignment="1">
      <alignment horizontal="left"/>
    </xf>
    <xf numFmtId="0" fontId="18" fillId="0" borderId="0" xfId="0" applyFont="1" applyBorder="1" applyAlignment="1">
      <alignment vertical="center"/>
    </xf>
    <xf numFmtId="2" fontId="0" fillId="0" borderId="23" xfId="0" applyNumberFormat="1" applyBorder="1"/>
    <xf numFmtId="0" fontId="37" fillId="0" borderId="0" xfId="0" applyFont="1" applyAlignment="1"/>
    <xf numFmtId="0" fontId="37" fillId="0" borderId="0" xfId="0" applyFont="1"/>
    <xf numFmtId="170" fontId="37" fillId="0" borderId="0" xfId="0" applyNumberFormat="1" applyFont="1" applyFill="1"/>
    <xf numFmtId="0" fontId="37" fillId="0" borderId="0" xfId="0" applyFont="1" applyFill="1"/>
    <xf numFmtId="4" fontId="37" fillId="0" borderId="0" xfId="0" applyNumberFormat="1" applyFont="1"/>
    <xf numFmtId="4" fontId="37" fillId="0" borderId="0" xfId="0" applyNumberFormat="1" applyFont="1" applyFill="1"/>
    <xf numFmtId="0" fontId="18" fillId="0" borderId="0" xfId="0" applyFont="1" applyAlignment="1">
      <alignment vertical="justify"/>
    </xf>
    <xf numFmtId="0" fontId="18" fillId="0" borderId="0" xfId="0" applyFont="1" applyAlignment="1">
      <alignment vertical="center" wrapText="1"/>
    </xf>
    <xf numFmtId="165" fontId="37" fillId="0" borderId="0" xfId="0" applyNumberFormat="1" applyFont="1" applyAlignment="1">
      <alignment vertical="center" wrapText="1"/>
    </xf>
    <xf numFmtId="0" fontId="18" fillId="0" borderId="0" xfId="0" applyFont="1" applyAlignment="1">
      <alignment horizontal="left" vertical="justify"/>
    </xf>
    <xf numFmtId="49" fontId="8" fillId="0" borderId="36" xfId="0" applyNumberFormat="1" applyFont="1" applyFill="1" applyBorder="1" applyAlignment="1">
      <alignment horizontal="center" vertical="justify"/>
    </xf>
    <xf numFmtId="49" fontId="8" fillId="0" borderId="37" xfId="0" applyNumberFormat="1" applyFont="1" applyFill="1" applyBorder="1" applyAlignment="1">
      <alignment horizontal="center" vertical="justify"/>
    </xf>
    <xf numFmtId="49" fontId="8" fillId="0" borderId="3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7" xfId="0" applyFont="1" applyBorder="1" applyAlignment="1">
      <alignment horizontal="center" vertical="center" wrapText="1"/>
    </xf>
    <xf numFmtId="49" fontId="8" fillId="0" borderId="37" xfId="0" applyNumberFormat="1" applyFont="1" applyBorder="1" applyAlignment="1">
      <alignment horizontal="center" vertical="center" wrapText="1"/>
    </xf>
    <xf numFmtId="0" fontId="40" fillId="0" borderId="0" xfId="2" applyFont="1" applyFill="1" applyBorder="1"/>
    <xf numFmtId="0" fontId="40" fillId="0" borderId="0" xfId="2" applyFont="1"/>
    <xf numFmtId="0" fontId="41" fillId="0" borderId="0" xfId="2" applyFont="1"/>
    <xf numFmtId="0" fontId="42" fillId="0" borderId="0" xfId="3" applyFont="1" applyFill="1" applyBorder="1"/>
    <xf numFmtId="0" fontId="42" fillId="0" borderId="0" xfId="3" applyFont="1"/>
    <xf numFmtId="0" fontId="42" fillId="0" borderId="0" xfId="2" applyFont="1" applyFill="1" applyBorder="1"/>
    <xf numFmtId="49" fontId="8" fillId="0" borderId="8" xfId="0" applyNumberFormat="1" applyFont="1" applyBorder="1" applyAlignment="1">
      <alignment horizontal="center" vertical="justify" wrapText="1"/>
    </xf>
    <xf numFmtId="10" fontId="0" fillId="0" borderId="0" xfId="0" applyNumberFormat="1"/>
    <xf numFmtId="3" fontId="7" fillId="0" borderId="4" xfId="0" applyNumberFormat="1" applyFont="1" applyFill="1" applyBorder="1"/>
    <xf numFmtId="0" fontId="7" fillId="0" borderId="0"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9" xfId="0" applyFont="1" applyFill="1" applyBorder="1" applyAlignment="1">
      <alignment horizontal="left"/>
    </xf>
    <xf numFmtId="4" fontId="7" fillId="0" borderId="30" xfId="0" applyNumberFormat="1"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1" xfId="0" applyNumberFormat="1" applyFont="1" applyFill="1" applyBorder="1" applyAlignment="1">
      <alignment horizontal="right"/>
    </xf>
    <xf numFmtId="0" fontId="11" fillId="0" borderId="55" xfId="0" applyFont="1" applyFill="1" applyBorder="1" applyAlignment="1">
      <alignment horizontal="center"/>
    </xf>
    <xf numFmtId="0" fontId="11" fillId="0" borderId="57" xfId="0" applyFont="1" applyFill="1" applyBorder="1" applyAlignment="1">
      <alignment horizontal="center"/>
    </xf>
    <xf numFmtId="49" fontId="11" fillId="0" borderId="57" xfId="0" applyNumberFormat="1" applyFont="1" applyFill="1" applyBorder="1" applyAlignment="1">
      <alignment horizontal="center"/>
    </xf>
    <xf numFmtId="9" fontId="11" fillId="0" borderId="57" xfId="0" applyNumberFormat="1" applyFont="1" applyFill="1" applyBorder="1" applyAlignment="1">
      <alignment horizontal="center"/>
    </xf>
    <xf numFmtId="49" fontId="11" fillId="0" borderId="31" xfId="0" applyNumberFormat="1" applyFont="1" applyFill="1" applyBorder="1" applyAlignment="1">
      <alignment horizontal="center"/>
    </xf>
    <xf numFmtId="49" fontId="11" fillId="0" borderId="59" xfId="0" applyNumberFormat="1" applyFont="1" applyFill="1" applyBorder="1" applyAlignment="1">
      <alignment horizontal="center"/>
    </xf>
    <xf numFmtId="49" fontId="11" fillId="0" borderId="22" xfId="0" applyNumberFormat="1" applyFont="1" applyFill="1" applyBorder="1" applyAlignment="1">
      <alignment horizontal="center"/>
    </xf>
    <xf numFmtId="49" fontId="11" fillId="0" borderId="40" xfId="0" applyNumberFormat="1" applyFont="1" applyFill="1" applyBorder="1" applyAlignment="1">
      <alignment horizontal="center"/>
    </xf>
    <xf numFmtId="0" fontId="7" fillId="0" borderId="23" xfId="0" applyFont="1" applyFill="1" applyBorder="1"/>
    <xf numFmtId="164" fontId="7" fillId="0" borderId="23" xfId="1" applyNumberFormat="1" applyFont="1" applyFill="1" applyBorder="1" applyAlignment="1">
      <alignment horizontal="center"/>
    </xf>
    <xf numFmtId="41" fontId="7" fillId="0" borderId="57" xfId="1" applyNumberFormat="1" applyFont="1" applyFill="1" applyBorder="1"/>
    <xf numFmtId="167" fontId="7" fillId="0" borderId="0" xfId="0" applyNumberFormat="1" applyFont="1" applyFill="1" applyBorder="1" applyAlignment="1">
      <alignment horizontal="right" vertical="center"/>
    </xf>
    <xf numFmtId="167" fontId="7" fillId="0" borderId="57" xfId="0" applyNumberFormat="1" applyFont="1" applyFill="1" applyBorder="1" applyAlignment="1">
      <alignment horizontal="right" vertical="center"/>
    </xf>
    <xf numFmtId="167" fontId="7" fillId="0" borderId="23" xfId="0" applyNumberFormat="1" applyFont="1" applyFill="1" applyBorder="1" applyAlignment="1">
      <alignment horizontal="right" vertical="center"/>
    </xf>
    <xf numFmtId="167" fontId="7" fillId="0" borderId="55" xfId="0" applyNumberFormat="1" applyFont="1" applyFill="1" applyBorder="1" applyAlignment="1">
      <alignment horizontal="right" vertical="center"/>
    </xf>
    <xf numFmtId="167" fontId="7" fillId="0" borderId="30" xfId="0" applyNumberFormat="1" applyFont="1" applyFill="1" applyBorder="1"/>
    <xf numFmtId="167" fontId="7" fillId="0" borderId="57" xfId="0" applyNumberFormat="1" applyFont="1" applyFill="1" applyBorder="1"/>
    <xf numFmtId="3" fontId="7" fillId="0" borderId="57" xfId="0" applyNumberFormat="1" applyFont="1" applyFill="1" applyBorder="1"/>
    <xf numFmtId="0" fontId="8" fillId="0" borderId="20" xfId="0" applyFont="1" applyFill="1" applyBorder="1"/>
    <xf numFmtId="164" fontId="8" fillId="0" borderId="49" xfId="1" applyNumberFormat="1" applyFont="1" applyFill="1" applyBorder="1" applyAlignment="1">
      <alignment horizontal="center"/>
    </xf>
    <xf numFmtId="167" fontId="8" fillId="0" borderId="56"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20" xfId="0" applyNumberFormat="1" applyFont="1" applyFill="1" applyBorder="1" applyAlignment="1">
      <alignment horizontal="right" vertical="center"/>
    </xf>
    <xf numFmtId="167" fontId="8" fillId="0" borderId="21" xfId="0" applyNumberFormat="1" applyFont="1" applyFill="1" applyBorder="1"/>
    <xf numFmtId="167" fontId="8" fillId="0" borderId="49" xfId="0" applyNumberFormat="1" applyFont="1" applyFill="1" applyBorder="1"/>
    <xf numFmtId="3" fontId="8" fillId="0" borderId="49" xfId="0" applyNumberFormat="1" applyFont="1" applyFill="1" applyBorder="1"/>
    <xf numFmtId="0" fontId="18" fillId="0" borderId="0" xfId="0" applyFont="1" applyAlignment="1">
      <alignment vertical="top"/>
    </xf>
    <xf numFmtId="173" fontId="0" fillId="0" borderId="0" xfId="0" applyNumberFormat="1" applyFill="1"/>
    <xf numFmtId="0" fontId="0" fillId="0" borderId="0" xfId="0" applyFill="1" applyAlignment="1">
      <alignment horizontal="center"/>
    </xf>
    <xf numFmtId="4" fontId="7" fillId="0" borderId="69" xfId="0" applyNumberFormat="1" applyFont="1" applyFill="1" applyBorder="1" applyAlignment="1"/>
    <xf numFmtId="4" fontId="7" fillId="0" borderId="0" xfId="0" applyNumberFormat="1" applyFont="1" applyFill="1" applyBorder="1" applyAlignment="1"/>
    <xf numFmtId="4" fontId="8" fillId="0" borderId="69" xfId="0" applyNumberFormat="1" applyFont="1" applyFill="1" applyBorder="1" applyAlignment="1"/>
    <xf numFmtId="4" fontId="8" fillId="0" borderId="0" xfId="0" applyNumberFormat="1" applyFont="1" applyFill="1" applyBorder="1" applyAlignment="1"/>
    <xf numFmtId="3" fontId="17" fillId="0" borderId="4" xfId="0" applyNumberFormat="1" applyFont="1" applyBorder="1"/>
    <xf numFmtId="4" fontId="7" fillId="0" borderId="69" xfId="0" applyNumberFormat="1" applyFont="1" applyFill="1" applyBorder="1" applyAlignment="1">
      <alignment horizontal="right"/>
    </xf>
    <xf numFmtId="1" fontId="10" fillId="0" borderId="8" xfId="0" applyNumberFormat="1" applyFont="1" applyFill="1" applyBorder="1" applyAlignment="1">
      <alignment horizontal="center"/>
    </xf>
    <xf numFmtId="9" fontId="7" fillId="0" borderId="69" xfId="0" applyNumberFormat="1" applyFont="1" applyFill="1" applyBorder="1" applyAlignment="1">
      <alignment horizontal="right"/>
    </xf>
    <xf numFmtId="4" fontId="12" fillId="0" borderId="0" xfId="0" applyNumberFormat="1" applyFont="1" applyFill="1" applyBorder="1" applyAlignment="1">
      <alignment horizontal="right"/>
    </xf>
    <xf numFmtId="9" fontId="7" fillId="0" borderId="69" xfId="0" applyNumberFormat="1" applyFont="1" applyFill="1" applyBorder="1" applyAlignment="1">
      <alignment horizontal="left"/>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Fill="1" applyBorder="1" applyAlignment="1">
      <alignment horizontal="right"/>
    </xf>
    <xf numFmtId="0" fontId="7" fillId="0" borderId="22" xfId="0" applyFont="1" applyFill="1" applyBorder="1" applyAlignment="1">
      <alignment horizontal="right"/>
    </xf>
    <xf numFmtId="4" fontId="7" fillId="0" borderId="40" xfId="0" applyNumberFormat="1" applyFont="1" applyFill="1" applyBorder="1" applyAlignment="1">
      <alignment horizontal="right"/>
    </xf>
    <xf numFmtId="0" fontId="7" fillId="0" borderId="31" xfId="0" applyFont="1" applyFill="1" applyBorder="1" applyAlignment="1">
      <alignment horizontal="center" vertical="center"/>
    </xf>
    <xf numFmtId="0" fontId="7" fillId="7" borderId="20" xfId="0" applyFont="1" applyFill="1" applyBorder="1" applyAlignment="1">
      <alignment horizontal="right"/>
    </xf>
    <xf numFmtId="0" fontId="7" fillId="7" borderId="56" xfId="0" applyFont="1" applyFill="1" applyBorder="1" applyAlignment="1">
      <alignment horizontal="right"/>
    </xf>
    <xf numFmtId="4" fontId="8" fillId="7" borderId="21" xfId="0" applyNumberFormat="1" applyFont="1" applyFill="1" applyBorder="1" applyAlignment="1">
      <alignment horizontal="right"/>
    </xf>
    <xf numFmtId="0" fontId="8" fillId="0" borderId="73" xfId="0" applyFont="1" applyFill="1" applyBorder="1" applyAlignment="1">
      <alignment horizontal="center"/>
    </xf>
    <xf numFmtId="0" fontId="8" fillId="0" borderId="14" xfId="0" applyFont="1" applyFill="1" applyBorder="1" applyAlignment="1">
      <alignment horizontal="center"/>
    </xf>
    <xf numFmtId="0" fontId="8" fillId="0" borderId="72" xfId="0" applyFont="1" applyFill="1" applyBorder="1" applyAlignment="1">
      <alignment horizontal="center"/>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7" fillId="0" borderId="31" xfId="0" applyFont="1" applyBorder="1" applyAlignment="1">
      <alignment horizontal="center" vertical="center"/>
    </xf>
    <xf numFmtId="0" fontId="7" fillId="0" borderId="56" xfId="0" applyFont="1" applyFill="1" applyBorder="1" applyAlignment="1">
      <alignment horizontal="right"/>
    </xf>
    <xf numFmtId="4" fontId="8" fillId="0" borderId="21" xfId="0" applyNumberFormat="1" applyFont="1" applyFill="1" applyBorder="1" applyAlignment="1">
      <alignment horizontal="right"/>
    </xf>
    <xf numFmtId="0" fontId="7" fillId="7" borderId="20" xfId="0" applyFont="1" applyFill="1" applyBorder="1" applyAlignment="1">
      <alignment horizontal="left"/>
    </xf>
    <xf numFmtId="0" fontId="7" fillId="7" borderId="56" xfId="0" applyFont="1" applyFill="1" applyBorder="1" applyAlignment="1">
      <alignment horizontal="left"/>
    </xf>
    <xf numFmtId="0" fontId="7" fillId="7" borderId="21" xfId="0" applyFont="1" applyFill="1" applyBorder="1" applyAlignment="1">
      <alignment horizontal="left"/>
    </xf>
    <xf numFmtId="4" fontId="8" fillId="0" borderId="30" xfId="0" applyNumberFormat="1" applyFont="1" applyFill="1" applyBorder="1" applyAlignment="1"/>
    <xf numFmtId="0" fontId="7" fillId="0" borderId="20" xfId="0" applyFont="1" applyFill="1" applyBorder="1" applyAlignment="1">
      <alignment horizontal="right"/>
    </xf>
    <xf numFmtId="0" fontId="7" fillId="0" borderId="14" xfId="0" applyFont="1" applyFill="1" applyBorder="1" applyAlignment="1">
      <alignment horizontal="left"/>
    </xf>
    <xf numFmtId="4" fontId="7" fillId="0" borderId="30" xfId="0" applyNumberFormat="1" applyFont="1" applyFill="1" applyBorder="1" applyAlignment="1"/>
    <xf numFmtId="0" fontId="7" fillId="0" borderId="13" xfId="0" applyFont="1" applyBorder="1" applyAlignment="1">
      <alignment horizontal="center" vertical="center"/>
    </xf>
    <xf numFmtId="0" fontId="7" fillId="0" borderId="73" xfId="0" applyFont="1" applyFill="1" applyBorder="1" applyAlignment="1">
      <alignment horizontal="left"/>
    </xf>
    <xf numFmtId="0" fontId="7" fillId="0" borderId="72" xfId="0" applyFont="1" applyFill="1" applyBorder="1" applyAlignment="1">
      <alignment horizontal="left"/>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4" fontId="0" fillId="0" borderId="0" xfId="0" applyNumberFormat="1" applyBorder="1"/>
    <xf numFmtId="4" fontId="18" fillId="0" borderId="0" xfId="0" applyNumberFormat="1" applyFont="1" applyBorder="1" applyAlignment="1">
      <alignment vertical="center"/>
    </xf>
    <xf numFmtId="4" fontId="7" fillId="7" borderId="20" xfId="0" applyNumberFormat="1" applyFont="1" applyFill="1" applyBorder="1" applyAlignment="1">
      <alignment horizontal="right"/>
    </xf>
    <xf numFmtId="0" fontId="28" fillId="0" borderId="0" xfId="4"/>
    <xf numFmtId="0" fontId="32" fillId="0" borderId="49" xfId="4" applyFont="1" applyBorder="1" applyAlignment="1">
      <alignment horizontal="center" vertical="center" wrapText="1"/>
    </xf>
    <xf numFmtId="0" fontId="32" fillId="0" borderId="56" xfId="4" applyFont="1" applyBorder="1" applyAlignment="1">
      <alignment wrapText="1"/>
    </xf>
    <xf numFmtId="0" fontId="32" fillId="0" borderId="56" xfId="4" applyFont="1" applyBorder="1" applyAlignment="1">
      <alignment horizontal="center" vertical="center" wrapText="1"/>
    </xf>
    <xf numFmtId="0" fontId="32" fillId="0" borderId="21" xfId="4" applyFont="1" applyBorder="1" applyAlignment="1">
      <alignment horizontal="center" vertical="center" wrapText="1"/>
    </xf>
    <xf numFmtId="0" fontId="32" fillId="0" borderId="57" xfId="4" applyFont="1" applyBorder="1"/>
    <xf numFmtId="167" fontId="32" fillId="0" borderId="0" xfId="4" applyNumberFormat="1" applyFont="1" applyBorder="1"/>
    <xf numFmtId="3" fontId="32" fillId="0" borderId="57" xfId="4" applyNumberFormat="1" applyFont="1" applyBorder="1"/>
    <xf numFmtId="3" fontId="32" fillId="0" borderId="30" xfId="4" applyNumberFormat="1" applyFont="1" applyBorder="1"/>
    <xf numFmtId="4" fontId="28" fillId="0" borderId="0" xfId="4" applyNumberFormat="1"/>
    <xf numFmtId="0" fontId="32" fillId="0" borderId="49" xfId="4" applyFont="1" applyBorder="1"/>
    <xf numFmtId="10" fontId="32" fillId="0" borderId="49" xfId="4" applyNumberFormat="1" applyFont="1" applyBorder="1" applyAlignment="1">
      <alignment horizontal="right"/>
    </xf>
    <xf numFmtId="3" fontId="33" fillId="0" borderId="49" xfId="4" applyNumberFormat="1" applyFont="1" applyBorder="1"/>
    <xf numFmtId="0" fontId="32" fillId="0" borderId="0" xfId="4" applyFont="1"/>
    <xf numFmtId="0" fontId="32" fillId="0" borderId="0" xfId="4" applyFont="1" applyFill="1" applyBorder="1"/>
    <xf numFmtId="4" fontId="32" fillId="0" borderId="49" xfId="4" applyNumberFormat="1" applyFont="1" applyBorder="1" applyAlignment="1">
      <alignment horizontal="right"/>
    </xf>
    <xf numFmtId="10" fontId="32" fillId="0" borderId="55" xfId="4" applyNumberFormat="1" applyFont="1" applyBorder="1" applyAlignment="1">
      <alignment horizontal="right"/>
    </xf>
    <xf numFmtId="10" fontId="32" fillId="0" borderId="57" xfId="4" applyNumberFormat="1" applyFont="1" applyBorder="1" applyAlignment="1">
      <alignment horizontal="right"/>
    </xf>
    <xf numFmtId="10" fontId="32" fillId="0" borderId="59" xfId="4" applyNumberFormat="1" applyFont="1" applyBorder="1" applyAlignment="1">
      <alignment horizontal="right"/>
    </xf>
    <xf numFmtId="10" fontId="32" fillId="8" borderId="57" xfId="4" applyNumberFormat="1" applyFont="1" applyFill="1" applyBorder="1" applyAlignment="1">
      <alignment horizontal="right"/>
    </xf>
    <xf numFmtId="4" fontId="32" fillId="0" borderId="0" xfId="4" applyNumberFormat="1" applyFont="1"/>
    <xf numFmtId="0" fontId="32" fillId="0" borderId="10" xfId="4" applyFont="1" applyBorder="1"/>
    <xf numFmtId="4" fontId="32" fillId="0" borderId="10" xfId="4" applyNumberFormat="1" applyFont="1" applyBorder="1"/>
    <xf numFmtId="0" fontId="32" fillId="0" borderId="4" xfId="4" applyFont="1" applyBorder="1"/>
    <xf numFmtId="4" fontId="32" fillId="0" borderId="4" xfId="4" applyNumberFormat="1" applyFont="1" applyBorder="1"/>
    <xf numFmtId="10" fontId="32" fillId="0" borderId="0" xfId="4" applyNumberFormat="1" applyFont="1" applyBorder="1"/>
    <xf numFmtId="10" fontId="32" fillId="0" borderId="49" xfId="4" applyNumberFormat="1" applyFont="1" applyBorder="1"/>
    <xf numFmtId="0" fontId="32" fillId="9" borderId="49" xfId="4" applyFont="1" applyFill="1" applyBorder="1" applyAlignment="1">
      <alignment horizontal="center" vertical="center" wrapText="1"/>
    </xf>
    <xf numFmtId="0" fontId="32" fillId="9" borderId="56" xfId="4" applyFont="1" applyFill="1" applyBorder="1" applyAlignment="1">
      <alignment wrapText="1"/>
    </xf>
    <xf numFmtId="0" fontId="32" fillId="9" borderId="56" xfId="4" applyFont="1" applyFill="1" applyBorder="1" applyAlignment="1">
      <alignment horizontal="center" vertical="center" wrapText="1"/>
    </xf>
    <xf numFmtId="0" fontId="32" fillId="9" borderId="21" xfId="4" applyFont="1" applyFill="1" applyBorder="1" applyAlignment="1">
      <alignment horizontal="center" vertical="center" wrapText="1"/>
    </xf>
    <xf numFmtId="167" fontId="32" fillId="0" borderId="55" xfId="4" applyNumberFormat="1" applyFont="1" applyBorder="1" applyAlignment="1">
      <alignment horizontal="right"/>
    </xf>
    <xf numFmtId="4" fontId="32" fillId="0" borderId="57" xfId="4" applyNumberFormat="1" applyFont="1" applyBorder="1"/>
    <xf numFmtId="4" fontId="32" fillId="0" borderId="0" xfId="4" applyNumberFormat="1" applyFont="1" applyBorder="1"/>
    <xf numFmtId="4" fontId="32" fillId="0" borderId="55" xfId="4" applyNumberFormat="1" applyFont="1" applyBorder="1"/>
    <xf numFmtId="4" fontId="32" fillId="0" borderId="30" xfId="4" applyNumberFormat="1" applyFont="1" applyBorder="1"/>
    <xf numFmtId="167" fontId="32" fillId="0" borderId="57" xfId="4" applyNumberFormat="1" applyFont="1" applyBorder="1" applyAlignment="1">
      <alignment horizontal="right"/>
    </xf>
    <xf numFmtId="167" fontId="32" fillId="0" borderId="59" xfId="4" applyNumberFormat="1" applyFont="1" applyBorder="1" applyAlignment="1">
      <alignment horizontal="right"/>
    </xf>
    <xf numFmtId="4" fontId="32" fillId="0" borderId="59" xfId="4" applyNumberFormat="1" applyFont="1" applyBorder="1"/>
    <xf numFmtId="167" fontId="32" fillId="0" borderId="49" xfId="4" applyNumberFormat="1" applyFont="1" applyBorder="1" applyAlignment="1">
      <alignment horizontal="right"/>
    </xf>
    <xf numFmtId="4" fontId="33" fillId="0" borderId="49" xfId="4" applyNumberFormat="1" applyFont="1" applyBorder="1"/>
    <xf numFmtId="4" fontId="30" fillId="9" borderId="4" xfId="4" applyNumberFormat="1" applyFont="1" applyFill="1" applyBorder="1"/>
    <xf numFmtId="167" fontId="43" fillId="0" borderId="4" xfId="4" applyNumberFormat="1" applyFont="1" applyBorder="1" applyAlignment="1">
      <alignment horizontal="right" vertical="center"/>
    </xf>
    <xf numFmtId="4" fontId="31" fillId="0" borderId="4" xfId="4" applyNumberFormat="1" applyFont="1" applyBorder="1"/>
    <xf numFmtId="3" fontId="32" fillId="0" borderId="49" xfId="4" applyNumberFormat="1" applyFont="1" applyBorder="1"/>
    <xf numFmtId="0" fontId="43" fillId="0" borderId="0" xfId="4" applyFont="1"/>
    <xf numFmtId="9" fontId="43" fillId="0" borderId="0" xfId="4" applyNumberFormat="1" applyFont="1"/>
    <xf numFmtId="0" fontId="32" fillId="0" borderId="56" xfId="4" applyFont="1" applyBorder="1" applyAlignment="1">
      <alignment horizontal="center" wrapText="1"/>
    </xf>
    <xf numFmtId="9" fontId="28" fillId="0" borderId="0" xfId="4" applyNumberFormat="1"/>
    <xf numFmtId="167" fontId="32" fillId="0" borderId="49" xfId="4" applyNumberFormat="1" applyFont="1" applyBorder="1"/>
    <xf numFmtId="0" fontId="30" fillId="0" borderId="13" xfId="4" applyFont="1" applyBorder="1"/>
    <xf numFmtId="0" fontId="30" fillId="0" borderId="14" xfId="4" applyFont="1" applyBorder="1"/>
    <xf numFmtId="4" fontId="33" fillId="0" borderId="58" xfId="4" applyNumberFormat="1" applyFont="1" applyBorder="1"/>
    <xf numFmtId="0" fontId="30" fillId="0" borderId="23" xfId="4" applyFont="1" applyBorder="1"/>
    <xf numFmtId="0" fontId="30" fillId="0" borderId="0" xfId="4" applyFont="1" applyBorder="1"/>
    <xf numFmtId="4" fontId="33" fillId="0" borderId="0" xfId="4" applyNumberFormat="1" applyFont="1" applyBorder="1"/>
    <xf numFmtId="4" fontId="33" fillId="0" borderId="30" xfId="4" applyNumberFormat="1" applyFont="1" applyBorder="1"/>
    <xf numFmtId="0" fontId="30" fillId="0" borderId="31" xfId="4" applyFont="1" applyBorder="1"/>
    <xf numFmtId="0" fontId="30" fillId="0" borderId="22" xfId="4" applyFont="1" applyBorder="1"/>
    <xf numFmtId="4" fontId="33" fillId="0" borderId="22" xfId="4" applyNumberFormat="1" applyFont="1" applyBorder="1"/>
    <xf numFmtId="4" fontId="33" fillId="0" borderId="40" xfId="4" applyNumberFormat="1" applyFont="1" applyBorder="1"/>
    <xf numFmtId="0" fontId="6" fillId="0" borderId="0" xfId="0" applyFont="1" applyFill="1" applyBorder="1"/>
    <xf numFmtId="49" fontId="2" fillId="0" borderId="0" xfId="0" applyNumberFormat="1" applyFont="1" applyFill="1" applyBorder="1" applyAlignment="1">
      <alignment horizontal="right"/>
    </xf>
    <xf numFmtId="49" fontId="6" fillId="0" borderId="0" xfId="0" applyNumberFormat="1" applyFont="1" applyFill="1" applyBorder="1" applyAlignment="1">
      <alignment horizontal="right"/>
    </xf>
    <xf numFmtId="49" fontId="2" fillId="0" borderId="0" xfId="0" applyNumberFormat="1" applyFont="1" applyFill="1" applyBorder="1"/>
    <xf numFmtId="49" fontId="6" fillId="0" borderId="0" xfId="0" applyNumberFormat="1" applyFont="1" applyFill="1" applyBorder="1"/>
    <xf numFmtId="0" fontId="39" fillId="0" borderId="0" xfId="0" applyFont="1"/>
    <xf numFmtId="0" fontId="11" fillId="0" borderId="0" xfId="0" applyFont="1" applyFill="1" applyBorder="1" applyAlignment="1">
      <alignment horizontal="left"/>
    </xf>
    <xf numFmtId="170" fontId="7" fillId="0" borderId="0" xfId="0" applyNumberFormat="1" applyFont="1" applyFill="1"/>
    <xf numFmtId="4" fontId="8" fillId="0" borderId="0" xfId="0" applyNumberFormat="1" applyFont="1"/>
    <xf numFmtId="4" fontId="8" fillId="0" borderId="0" xfId="0" applyNumberFormat="1" applyFont="1" applyFill="1"/>
    <xf numFmtId="0" fontId="39" fillId="0" borderId="0" xfId="0" applyFont="1" applyFill="1"/>
    <xf numFmtId="0" fontId="10" fillId="0" borderId="5" xfId="0" applyFont="1" applyBorder="1" applyAlignment="1">
      <alignment horizontal="center"/>
    </xf>
    <xf numFmtId="0" fontId="10" fillId="0" borderId="5" xfId="0" applyFont="1" applyBorder="1" applyAlignment="1">
      <alignment horizontal="center" vertical="center"/>
    </xf>
    <xf numFmtId="0" fontId="10" fillId="0" borderId="8" xfId="0" applyFont="1" applyBorder="1" applyAlignment="1">
      <alignment horizontal="center"/>
    </xf>
    <xf numFmtId="0" fontId="10" fillId="0" borderId="8" xfId="0" applyFont="1" applyBorder="1" applyAlignment="1">
      <alignment horizontal="center" vertical="center"/>
    </xf>
    <xf numFmtId="49" fontId="10" fillId="0" borderId="8" xfId="0" applyNumberFormat="1" applyFont="1" applyBorder="1" applyAlignment="1">
      <alignment horizontal="center"/>
    </xf>
    <xf numFmtId="49" fontId="10" fillId="0" borderId="10" xfId="0" applyNumberFormat="1" applyFont="1" applyBorder="1" applyAlignment="1">
      <alignment horizontal="center"/>
    </xf>
    <xf numFmtId="0" fontId="39" fillId="0" borderId="26" xfId="0" applyFont="1" applyBorder="1"/>
    <xf numFmtId="164" fontId="39" fillId="0" borderId="6" xfId="1" applyNumberFormat="1" applyFont="1" applyBorder="1" applyAlignment="1">
      <alignment horizontal="center"/>
    </xf>
    <xf numFmtId="4" fontId="39" fillId="0" borderId="6" xfId="0" applyNumberFormat="1" applyFont="1" applyBorder="1"/>
    <xf numFmtId="4" fontId="39" fillId="0" borderId="0" xfId="0" applyNumberFormat="1" applyFont="1"/>
    <xf numFmtId="4" fontId="44" fillId="0" borderId="0" xfId="0" applyNumberFormat="1" applyFont="1"/>
    <xf numFmtId="0" fontId="39" fillId="0" borderId="69" xfId="0" applyFont="1" applyBorder="1"/>
    <xf numFmtId="164" fontId="39" fillId="0" borderId="0" xfId="1" applyNumberFormat="1" applyFont="1" applyBorder="1" applyAlignment="1">
      <alignment horizontal="center"/>
    </xf>
    <xf numFmtId="4" fontId="39" fillId="0" borderId="0" xfId="0" applyNumberFormat="1" applyFont="1" applyBorder="1"/>
    <xf numFmtId="0" fontId="10" fillId="0" borderId="4" xfId="0" applyFont="1" applyBorder="1"/>
    <xf numFmtId="164" fontId="10" fillId="0" borderId="4" xfId="1" applyNumberFormat="1" applyFont="1" applyBorder="1" applyAlignment="1">
      <alignment horizontal="center"/>
    </xf>
    <xf numFmtId="4" fontId="10" fillId="0" borderId="4" xfId="0" applyNumberFormat="1" applyFont="1" applyBorder="1"/>
    <xf numFmtId="2" fontId="10" fillId="0" borderId="4" xfId="0" applyNumberFormat="1" applyFont="1" applyBorder="1"/>
    <xf numFmtId="0" fontId="30" fillId="0" borderId="0" xfId="4" applyFont="1" applyAlignment="1"/>
    <xf numFmtId="0" fontId="28" fillId="0" borderId="0" xfId="4" applyFont="1" applyAlignment="1">
      <alignment horizontal="center"/>
    </xf>
    <xf numFmtId="0" fontId="28" fillId="0" borderId="0" xfId="4" applyFill="1" applyAlignment="1">
      <alignment horizontal="center"/>
    </xf>
    <xf numFmtId="0" fontId="28" fillId="0" borderId="49" xfId="4" applyBorder="1" applyAlignment="1">
      <alignment horizontal="center"/>
    </xf>
    <xf numFmtId="0" fontId="28" fillId="0" borderId="49" xfId="4" applyFill="1" applyBorder="1" applyAlignment="1">
      <alignment horizontal="center"/>
    </xf>
    <xf numFmtId="4" fontId="28" fillId="0" borderId="49" xfId="4" applyNumberFormat="1" applyBorder="1"/>
    <xf numFmtId="4" fontId="12" fillId="0" borderId="49" xfId="5" applyNumberFormat="1" applyFont="1" applyFill="1" applyBorder="1" applyAlignment="1">
      <alignment horizontal="right" vertical="center"/>
    </xf>
    <xf numFmtId="4" fontId="28" fillId="6" borderId="0" xfId="4" applyNumberFormat="1" applyFill="1"/>
    <xf numFmtId="3" fontId="12" fillId="0" borderId="0" xfId="5" applyNumberFormat="1" applyFont="1" applyFill="1" applyBorder="1" applyAlignment="1">
      <alignment horizontal="right" vertical="center"/>
    </xf>
    <xf numFmtId="3" fontId="12" fillId="0" borderId="59" xfId="5" applyNumberFormat="1" applyFont="1" applyFill="1" applyBorder="1" applyAlignment="1">
      <alignment horizontal="right" vertical="center"/>
    </xf>
    <xf numFmtId="3" fontId="12" fillId="0" borderId="31" xfId="5" applyNumberFormat="1" applyFont="1" applyFill="1" applyBorder="1" applyAlignment="1">
      <alignment horizontal="right" vertical="center"/>
    </xf>
    <xf numFmtId="10" fontId="28" fillId="0" borderId="49" xfId="4" applyNumberFormat="1" applyBorder="1"/>
    <xf numFmtId="10" fontId="28" fillId="0" borderId="0" xfId="4" applyNumberFormat="1" applyFill="1"/>
    <xf numFmtId="10" fontId="28" fillId="0" borderId="59" xfId="4" applyNumberFormat="1" applyFill="1" applyBorder="1"/>
    <xf numFmtId="4" fontId="28" fillId="0" borderId="49" xfId="4" applyNumberFormat="1" applyFill="1" applyBorder="1"/>
    <xf numFmtId="4" fontId="28" fillId="0" borderId="0" xfId="4" applyNumberFormat="1" applyBorder="1"/>
    <xf numFmtId="4" fontId="28" fillId="0" borderId="0" xfId="4" applyNumberFormat="1" applyFill="1" applyBorder="1"/>
    <xf numFmtId="0" fontId="28" fillId="0" borderId="49" xfId="4" applyFont="1" applyBorder="1"/>
    <xf numFmtId="4" fontId="28" fillId="0" borderId="0" xfId="4" applyNumberFormat="1" applyFill="1"/>
    <xf numFmtId="0" fontId="28" fillId="0" borderId="22" xfId="4" applyBorder="1" applyAlignment="1"/>
    <xf numFmtId="0" fontId="28" fillId="0" borderId="22" xfId="4" applyFill="1" applyBorder="1" applyAlignment="1"/>
    <xf numFmtId="3" fontId="12" fillId="0" borderId="49" xfId="5" applyNumberFormat="1" applyFont="1" applyFill="1" applyBorder="1" applyAlignment="1">
      <alignment horizontal="right" vertical="center"/>
    </xf>
    <xf numFmtId="3" fontId="28" fillId="0" borderId="0" xfId="4" applyNumberFormat="1" applyFill="1" applyBorder="1"/>
    <xf numFmtId="9" fontId="28" fillId="0" borderId="0" xfId="4" applyNumberFormat="1" applyFont="1" applyBorder="1"/>
    <xf numFmtId="3" fontId="28" fillId="0" borderId="0" xfId="4" applyNumberFormat="1"/>
    <xf numFmtId="3" fontId="28" fillId="0" borderId="0" xfId="4" applyNumberFormat="1" applyBorder="1"/>
    <xf numFmtId="10" fontId="28" fillId="0" borderId="49" xfId="4" applyNumberFormat="1" applyFill="1" applyBorder="1"/>
    <xf numFmtId="4" fontId="22" fillId="0" borderId="49" xfId="4" applyNumberFormat="1" applyFont="1" applyFill="1" applyBorder="1" applyAlignment="1">
      <alignment horizontal="right"/>
    </xf>
    <xf numFmtId="0" fontId="28" fillId="0" borderId="0" xfId="4" applyFont="1" applyBorder="1"/>
    <xf numFmtId="0" fontId="28" fillId="0" borderId="0" xfId="4" applyFill="1"/>
    <xf numFmtId="3" fontId="12" fillId="0" borderId="0" xfId="5" applyNumberFormat="1" applyFont="1" applyFill="1" applyAlignment="1">
      <alignment horizontal="right" vertical="center"/>
    </xf>
    <xf numFmtId="4" fontId="22" fillId="0" borderId="0" xfId="4" applyNumberFormat="1" applyFont="1" applyFill="1" applyAlignment="1">
      <alignment horizontal="right"/>
    </xf>
    <xf numFmtId="0" fontId="28" fillId="0" borderId="0" xfId="4" applyFont="1" applyFill="1" applyAlignment="1">
      <alignment horizontal="center"/>
    </xf>
    <xf numFmtId="0" fontId="28" fillId="0" borderId="0" xfId="4" applyBorder="1" applyAlignment="1"/>
    <xf numFmtId="3" fontId="28" fillId="0" borderId="22" xfId="4" applyNumberFormat="1" applyBorder="1" applyAlignment="1"/>
    <xf numFmtId="167" fontId="28" fillId="0" borderId="22" xfId="4" applyNumberFormat="1" applyFill="1" applyBorder="1" applyAlignment="1"/>
    <xf numFmtId="10" fontId="28" fillId="0" borderId="0" xfId="4" applyNumberFormat="1"/>
    <xf numFmtId="4" fontId="28" fillId="0" borderId="20" xfId="4" applyNumberFormat="1" applyFill="1" applyBorder="1"/>
    <xf numFmtId="4" fontId="28" fillId="6" borderId="49" xfId="4" applyNumberFormat="1" applyFill="1" applyBorder="1"/>
    <xf numFmtId="4" fontId="28" fillId="0" borderId="49" xfId="4" applyNumberFormat="1" applyFont="1" applyFill="1" applyBorder="1"/>
    <xf numFmtId="4" fontId="28" fillId="0" borderId="49" xfId="4" applyNumberFormat="1" applyFont="1" applyBorder="1"/>
    <xf numFmtId="0" fontId="30" fillId="0" borderId="0" xfId="4" applyFont="1" applyFill="1"/>
    <xf numFmtId="4" fontId="30" fillId="0" borderId="49" xfId="4" applyNumberFormat="1" applyFont="1" applyBorder="1"/>
    <xf numFmtId="4" fontId="30" fillId="0" borderId="49" xfId="4" applyNumberFormat="1" applyFont="1" applyFill="1" applyBorder="1"/>
    <xf numFmtId="4" fontId="28" fillId="0" borderId="14" xfId="4" applyNumberFormat="1" applyFill="1" applyBorder="1"/>
    <xf numFmtId="4" fontId="28" fillId="0" borderId="22" xfId="4" applyNumberFormat="1" applyFill="1" applyBorder="1"/>
    <xf numFmtId="3" fontId="28" fillId="0" borderId="0" xfId="4" applyNumberFormat="1" applyFill="1"/>
    <xf numFmtId="0" fontId="30" fillId="0" borderId="20" xfId="4" applyFont="1" applyFill="1" applyBorder="1"/>
    <xf numFmtId="0" fontId="30" fillId="0" borderId="21" xfId="4" applyFont="1" applyFill="1" applyBorder="1"/>
    <xf numFmtId="4" fontId="30" fillId="13" borderId="49" xfId="4" applyNumberFormat="1" applyFont="1" applyFill="1" applyBorder="1"/>
    <xf numFmtId="0" fontId="30" fillId="0" borderId="0" xfId="4" applyFont="1"/>
    <xf numFmtId="3" fontId="28" fillId="0" borderId="0" xfId="2" applyNumberFormat="1"/>
    <xf numFmtId="4" fontId="28" fillId="0" borderId="0" xfId="2" applyNumberFormat="1"/>
    <xf numFmtId="0" fontId="33" fillId="9" borderId="4" xfId="4" applyFont="1" applyFill="1" applyBorder="1"/>
    <xf numFmtId="0" fontId="33" fillId="9" borderId="1" xfId="4" applyFont="1" applyFill="1" applyBorder="1"/>
    <xf numFmtId="0" fontId="33" fillId="9" borderId="3" xfId="4" applyFont="1" applyFill="1" applyBorder="1"/>
    <xf numFmtId="4" fontId="46" fillId="0" borderId="0" xfId="4" applyNumberFormat="1" applyFont="1"/>
    <xf numFmtId="0" fontId="32" fillId="0" borderId="56" xfId="2" applyFont="1" applyFill="1" applyBorder="1" applyAlignment="1">
      <alignment horizontal="center" wrapText="1"/>
    </xf>
    <xf numFmtId="3" fontId="7" fillId="0" borderId="36" xfId="0" applyNumberFormat="1" applyFont="1" applyBorder="1"/>
    <xf numFmtId="3" fontId="7" fillId="0" borderId="75" xfId="0" applyNumberFormat="1" applyFont="1" applyFill="1" applyBorder="1"/>
    <xf numFmtId="3" fontId="7" fillId="0" borderId="76" xfId="0" applyNumberFormat="1" applyFont="1" applyFill="1" applyBorder="1"/>
    <xf numFmtId="3" fontId="7" fillId="0" borderId="47" xfId="0" applyNumberFormat="1" applyFont="1" applyFill="1" applyBorder="1"/>
    <xf numFmtId="3" fontId="7" fillId="0" borderId="32" xfId="0" applyNumberFormat="1" applyFont="1" applyFill="1" applyBorder="1"/>
    <xf numFmtId="3" fontId="7" fillId="0" borderId="64" xfId="0" applyNumberFormat="1" applyFont="1" applyFill="1" applyBorder="1"/>
    <xf numFmtId="3" fontId="7" fillId="5" borderId="1" xfId="0" applyNumberFormat="1" applyFont="1" applyFill="1" applyBorder="1"/>
    <xf numFmtId="3" fontId="7" fillId="0" borderId="74" xfId="0" applyNumberFormat="1" applyFont="1" applyFill="1" applyBorder="1"/>
    <xf numFmtId="3" fontId="7" fillId="0" borderId="46" xfId="0" applyNumberFormat="1" applyFont="1" applyFill="1" applyBorder="1"/>
    <xf numFmtId="3" fontId="7" fillId="0" borderId="63" xfId="0" applyNumberFormat="1" applyFont="1" applyFill="1" applyBorder="1"/>
    <xf numFmtId="3" fontId="8" fillId="0" borderId="1" xfId="0" applyNumberFormat="1" applyFont="1" applyBorder="1"/>
    <xf numFmtId="3" fontId="8" fillId="0" borderId="49" xfId="0" applyNumberFormat="1" applyFont="1" applyBorder="1"/>
    <xf numFmtId="3" fontId="25" fillId="0" borderId="49" xfId="0" applyNumberFormat="1" applyFont="1" applyBorder="1"/>
    <xf numFmtId="0" fontId="7" fillId="0" borderId="5" xfId="0" applyFont="1" applyBorder="1"/>
    <xf numFmtId="168" fontId="7" fillId="0" borderId="5" xfId="1" applyNumberFormat="1" applyFont="1" applyBorder="1"/>
    <xf numFmtId="171" fontId="7" fillId="0" borderId="5" xfId="1" applyNumberFormat="1" applyFont="1" applyBorder="1"/>
    <xf numFmtId="167" fontId="7" fillId="0" borderId="5" xfId="0" applyNumberFormat="1" applyFont="1" applyBorder="1" applyAlignment="1">
      <alignment horizontal="center"/>
    </xf>
    <xf numFmtId="3" fontId="7" fillId="0" borderId="5" xfId="0" applyNumberFormat="1" applyFont="1" applyBorder="1" applyAlignment="1">
      <alignment horizontal="right"/>
    </xf>
    <xf numFmtId="0" fontId="7" fillId="0" borderId="8" xfId="0" applyFont="1" applyBorder="1"/>
    <xf numFmtId="168" fontId="7" fillId="0" borderId="8" xfId="1" applyNumberFormat="1" applyFont="1" applyBorder="1"/>
    <xf numFmtId="171" fontId="7" fillId="0" borderId="8" xfId="1" applyNumberFormat="1" applyFont="1" applyBorder="1"/>
    <xf numFmtId="167" fontId="7" fillId="0" borderId="8" xfId="0" applyNumberFormat="1" applyFont="1" applyBorder="1" applyAlignment="1">
      <alignment horizontal="center"/>
    </xf>
    <xf numFmtId="0" fontId="7" fillId="0" borderId="10" xfId="0" applyFont="1" applyBorder="1"/>
    <xf numFmtId="168" fontId="7" fillId="0" borderId="10" xfId="1" applyNumberFormat="1" applyFont="1" applyBorder="1"/>
    <xf numFmtId="171" fontId="7" fillId="0" borderId="10" xfId="1" applyNumberFormat="1" applyFont="1" applyBorder="1"/>
    <xf numFmtId="167" fontId="7" fillId="0" borderId="10" xfId="0" applyNumberFormat="1" applyFont="1" applyBorder="1" applyAlignment="1">
      <alignment horizontal="center"/>
    </xf>
    <xf numFmtId="3" fontId="7" fillId="0" borderId="10" xfId="0" applyNumberFormat="1" applyFont="1" applyBorder="1" applyAlignment="1">
      <alignment horizontal="right"/>
    </xf>
    <xf numFmtId="0" fontId="8" fillId="0" borderId="0" xfId="0" applyFont="1" applyAlignment="1">
      <alignment horizontal="center"/>
    </xf>
    <xf numFmtId="0" fontId="8" fillId="0" borderId="55" xfId="0" applyFont="1" applyBorder="1" applyAlignment="1">
      <alignment horizontal="center" vertical="center" wrapText="1"/>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 fontId="7" fillId="0" borderId="0" xfId="0" applyNumberFormat="1" applyFont="1" applyFill="1" applyBorder="1" applyAlignment="1">
      <alignment horizontal="right"/>
    </xf>
    <xf numFmtId="0" fontId="8" fillId="0" borderId="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0" fontId="10" fillId="0" borderId="13" xfId="0" applyFont="1" applyFill="1" applyBorder="1" applyAlignment="1">
      <alignment horizontal="center"/>
    </xf>
    <xf numFmtId="0" fontId="10" fillId="0" borderId="55" xfId="0" applyFont="1" applyFill="1" applyBorder="1" applyAlignment="1">
      <alignment horizontal="center"/>
    </xf>
    <xf numFmtId="0" fontId="10" fillId="0" borderId="23" xfId="0" applyFont="1" applyFill="1" applyBorder="1" applyAlignment="1">
      <alignment horizontal="center"/>
    </xf>
    <xf numFmtId="0" fontId="10" fillId="0" borderId="57" xfId="0" applyFont="1" applyFill="1" applyBorder="1" applyAlignment="1">
      <alignment horizontal="center"/>
    </xf>
    <xf numFmtId="9" fontId="10" fillId="0" borderId="57" xfId="0" applyNumberFormat="1" applyFont="1" applyFill="1" applyBorder="1" applyAlignment="1">
      <alignment horizontal="center"/>
    </xf>
    <xf numFmtId="1" fontId="10" fillId="0" borderId="23" xfId="0" applyNumberFormat="1" applyFont="1" applyFill="1" applyBorder="1" applyAlignment="1">
      <alignment horizontal="center"/>
    </xf>
    <xf numFmtId="1" fontId="10" fillId="0" borderId="57" xfId="0" applyNumberFormat="1" applyFont="1" applyFill="1" applyBorder="1" applyAlignment="1">
      <alignment horizontal="center"/>
    </xf>
    <xf numFmtId="49" fontId="10" fillId="0" borderId="31" xfId="0" applyNumberFormat="1" applyFont="1" applyFill="1" applyBorder="1" applyAlignment="1">
      <alignment horizontal="center"/>
    </xf>
    <xf numFmtId="49" fontId="10" fillId="0" borderId="59" xfId="0" applyNumberFormat="1" applyFont="1" applyFill="1" applyBorder="1" applyAlignment="1">
      <alignment horizontal="center"/>
    </xf>
    <xf numFmtId="49" fontId="10" fillId="0" borderId="59" xfId="0" applyNumberFormat="1" applyFont="1" applyBorder="1" applyAlignment="1">
      <alignment horizontal="center" vertical="center" wrapText="1"/>
    </xf>
    <xf numFmtId="49" fontId="16" fillId="0" borderId="22"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 fillId="0" borderId="60" xfId="0" applyFont="1" applyFill="1" applyBorder="1"/>
    <xf numFmtId="3" fontId="1" fillId="0" borderId="43" xfId="0" applyNumberFormat="1" applyFont="1" applyFill="1" applyBorder="1"/>
    <xf numFmtId="166" fontId="1" fillId="0" borderId="10" xfId="0" applyNumberFormat="1" applyFont="1" applyFill="1" applyBorder="1"/>
    <xf numFmtId="167" fontId="1" fillId="0" borderId="10" xfId="0" applyNumberFormat="1" applyFont="1" applyFill="1" applyBorder="1"/>
    <xf numFmtId="165" fontId="1" fillId="0" borderId="44" xfId="0" applyNumberFormat="1" applyFont="1" applyFill="1" applyBorder="1" applyAlignment="1">
      <alignment horizontal="right"/>
    </xf>
    <xf numFmtId="165" fontId="1" fillId="0" borderId="43" xfId="0" applyNumberFormat="1" applyFont="1" applyFill="1" applyBorder="1" applyAlignment="1">
      <alignment horizontal="right"/>
    </xf>
    <xf numFmtId="165" fontId="1" fillId="0" borderId="10" xfId="0" applyNumberFormat="1" applyFont="1" applyFill="1" applyBorder="1" applyAlignment="1">
      <alignment horizontal="right"/>
    </xf>
    <xf numFmtId="3" fontId="1" fillId="0" borderId="44" xfId="0" applyNumberFormat="1" applyFont="1" applyFill="1" applyBorder="1"/>
    <xf numFmtId="165" fontId="1" fillId="0" borderId="12" xfId="0" applyNumberFormat="1" applyFont="1" applyFill="1" applyBorder="1"/>
    <xf numFmtId="3" fontId="1" fillId="0" borderId="42" xfId="0" applyNumberFormat="1" applyFont="1" applyFill="1" applyBorder="1"/>
    <xf numFmtId="165" fontId="1" fillId="0" borderId="61" xfId="0" applyNumberFormat="1" applyFont="1" applyFill="1" applyBorder="1"/>
    <xf numFmtId="166" fontId="1" fillId="0" borderId="4" xfId="0" applyNumberFormat="1" applyFont="1" applyFill="1" applyBorder="1"/>
    <xf numFmtId="165" fontId="1" fillId="0" borderId="3" xfId="0" applyNumberFormat="1" applyFont="1" applyFill="1" applyBorder="1"/>
    <xf numFmtId="0" fontId="1" fillId="0" borderId="62" xfId="0" applyFont="1" applyFill="1" applyBorder="1"/>
    <xf numFmtId="166" fontId="1" fillId="0" borderId="36" xfId="0" applyNumberFormat="1" applyFont="1" applyFill="1" applyBorder="1"/>
    <xf numFmtId="167" fontId="1" fillId="0" borderId="36" xfId="0" applyNumberFormat="1" applyFont="1" applyFill="1" applyBorder="1"/>
    <xf numFmtId="166" fontId="1" fillId="0" borderId="32" xfId="0" applyNumberFormat="1" applyFont="1" applyFill="1" applyBorder="1"/>
    <xf numFmtId="165" fontId="1" fillId="0" borderId="65" xfId="0" applyNumberFormat="1" applyFont="1" applyFill="1" applyBorder="1"/>
    <xf numFmtId="3" fontId="1" fillId="0" borderId="39" xfId="0" applyNumberFormat="1" applyFont="1" applyFill="1" applyBorder="1"/>
    <xf numFmtId="3" fontId="5" fillId="0" borderId="52" xfId="0" applyNumberFormat="1" applyFont="1" applyFill="1" applyBorder="1"/>
    <xf numFmtId="166" fontId="5" fillId="0" borderId="49" xfId="0" applyNumberFormat="1" applyFont="1" applyFill="1" applyBorder="1"/>
    <xf numFmtId="169" fontId="5" fillId="0" borderId="49" xfId="0" applyNumberFormat="1" applyFont="1" applyFill="1" applyBorder="1"/>
    <xf numFmtId="165" fontId="5" fillId="0" borderId="49" xfId="0" applyNumberFormat="1" applyFont="1" applyFill="1" applyBorder="1" applyAlignment="1">
      <alignment horizontal="right"/>
    </xf>
    <xf numFmtId="166" fontId="5" fillId="0" borderId="20" xfId="0" applyNumberFormat="1" applyFont="1" applyFill="1" applyBorder="1"/>
    <xf numFmtId="167" fontId="5" fillId="0" borderId="49" xfId="0" applyNumberFormat="1" applyFont="1" applyFill="1" applyBorder="1"/>
    <xf numFmtId="3" fontId="5" fillId="0" borderId="49" xfId="0" applyNumberFormat="1" applyFont="1" applyFill="1" applyBorder="1"/>
    <xf numFmtId="167" fontId="5" fillId="0" borderId="20" xfId="0" applyNumberFormat="1" applyFont="1" applyFill="1" applyBorder="1"/>
    <xf numFmtId="0" fontId="7" fillId="0" borderId="0" xfId="0" applyFont="1" applyBorder="1" applyAlignment="1">
      <alignment horizontal="left" vertical="center"/>
    </xf>
    <xf numFmtId="164" fontId="5" fillId="0" borderId="0" xfId="1" applyNumberFormat="1" applyFont="1" applyFill="1" applyBorder="1" applyAlignment="1">
      <alignment horizontal="center"/>
    </xf>
    <xf numFmtId="165" fontId="5" fillId="0" borderId="0" xfId="1" applyNumberFormat="1" applyFont="1" applyFill="1" applyBorder="1"/>
    <xf numFmtId="3" fontId="5" fillId="0" borderId="0" xfId="0" applyNumberFormat="1" applyFont="1" applyFill="1" applyBorder="1"/>
    <xf numFmtId="166" fontId="5" fillId="0" borderId="0" xfId="0" applyNumberFormat="1" applyFont="1" applyFill="1" applyBorder="1"/>
    <xf numFmtId="169" fontId="5" fillId="0" borderId="0" xfId="0" applyNumberFormat="1" applyFont="1" applyFill="1" applyBorder="1"/>
    <xf numFmtId="165" fontId="5" fillId="0" borderId="0" xfId="0" applyNumberFormat="1" applyFont="1" applyFill="1" applyBorder="1" applyAlignment="1">
      <alignment horizontal="right"/>
    </xf>
    <xf numFmtId="167" fontId="5" fillId="0" borderId="0" xfId="0" applyNumberFormat="1" applyFont="1" applyFill="1" applyBorder="1"/>
    <xf numFmtId="165" fontId="5" fillId="0" borderId="0" xfId="0" applyNumberFormat="1" applyFont="1" applyFill="1" applyBorder="1"/>
    <xf numFmtId="0" fontId="11" fillId="0" borderId="0" xfId="0" applyFont="1" applyFill="1" applyAlignment="1">
      <alignment horizontal="right" vertical="top"/>
    </xf>
    <xf numFmtId="0" fontId="8" fillId="0" borderId="0" xfId="0" applyFont="1" applyFill="1" applyBorder="1" applyAlignment="1">
      <alignment horizontal="right"/>
    </xf>
    <xf numFmtId="4" fontId="7" fillId="0" borderId="23" xfId="0" applyNumberFormat="1" applyFont="1" applyFill="1" applyBorder="1" applyAlignment="1"/>
    <xf numFmtId="4" fontId="7" fillId="6" borderId="0" xfId="0" applyNumberFormat="1" applyFont="1" applyFill="1" applyBorder="1" applyAlignment="1"/>
    <xf numFmtId="4" fontId="7" fillId="0" borderId="4" xfId="0" applyNumberFormat="1" applyFont="1" applyFill="1" applyBorder="1" applyAlignment="1">
      <alignment horizontal="right"/>
    </xf>
    <xf numFmtId="4" fontId="7" fillId="0" borderId="47" xfId="0" applyNumberFormat="1" applyFont="1" applyFill="1" applyBorder="1" applyAlignment="1">
      <alignment horizontal="right"/>
    </xf>
    <xf numFmtId="0" fontId="39" fillId="0" borderId="0" xfId="0" applyFont="1" applyFill="1" applyAlignment="1">
      <alignment vertical="center" wrapText="1"/>
    </xf>
    <xf numFmtId="0" fontId="28" fillId="0" borderId="0" xfId="4" applyFill="1" applyBorder="1" applyAlignment="1">
      <alignment horizontal="center"/>
    </xf>
    <xf numFmtId="0" fontId="28" fillId="0" borderId="0" xfId="4" applyBorder="1" applyAlignment="1">
      <alignment horizontal="center"/>
    </xf>
    <xf numFmtId="167" fontId="43" fillId="0" borderId="55" xfId="4" applyNumberFormat="1" applyFont="1" applyBorder="1" applyAlignment="1">
      <alignment horizontal="right" vertical="center"/>
    </xf>
    <xf numFmtId="167" fontId="43" fillId="0" borderId="57" xfId="4" applyNumberFormat="1" applyFont="1" applyBorder="1" applyAlignment="1">
      <alignment horizontal="right" vertical="center"/>
    </xf>
    <xf numFmtId="167" fontId="43" fillId="0" borderId="59" xfId="4" applyNumberFormat="1" applyFont="1" applyBorder="1" applyAlignment="1">
      <alignment horizontal="right" vertical="center"/>
    </xf>
    <xf numFmtId="0" fontId="30" fillId="0" borderId="22" xfId="4" applyFont="1" applyBorder="1" applyAlignment="1"/>
    <xf numFmtId="10" fontId="32" fillId="0" borderId="57" xfId="4" applyNumberFormat="1" applyFont="1" applyFill="1" applyBorder="1" applyAlignment="1">
      <alignment horizontal="right"/>
    </xf>
    <xf numFmtId="166" fontId="32" fillId="0" borderId="0" xfId="4" applyNumberFormat="1" applyFont="1" applyBorder="1"/>
    <xf numFmtId="166" fontId="32" fillId="0" borderId="49" xfId="4" applyNumberFormat="1" applyFont="1" applyBorder="1"/>
    <xf numFmtId="0" fontId="48" fillId="15" borderId="5" xfId="0" applyFont="1" applyFill="1" applyBorder="1" applyAlignment="1">
      <alignment horizontal="center"/>
    </xf>
    <xf numFmtId="0" fontId="48" fillId="15" borderId="8" xfId="0" applyFont="1" applyFill="1" applyBorder="1" applyAlignment="1">
      <alignment horizontal="center"/>
    </xf>
    <xf numFmtId="0" fontId="48" fillId="15" borderId="10" xfId="0" applyFont="1" applyFill="1" applyBorder="1" applyAlignment="1">
      <alignment horizontal="center"/>
    </xf>
    <xf numFmtId="0" fontId="46" fillId="0" borderId="4" xfId="0" applyFont="1" applyBorder="1" applyAlignment="1">
      <alignment horizontal="center"/>
    </xf>
    <xf numFmtId="0" fontId="49" fillId="0" borderId="4" xfId="0" applyFont="1" applyBorder="1" applyAlignment="1">
      <alignment wrapText="1"/>
    </xf>
    <xf numFmtId="4" fontId="9" fillId="0" borderId="4" xfId="0" applyNumberFormat="1" applyFont="1" applyBorder="1"/>
    <xf numFmtId="174" fontId="9" fillId="0" borderId="4" xfId="0" applyNumberFormat="1" applyFont="1" applyBorder="1"/>
    <xf numFmtId="0" fontId="49" fillId="5" borderId="4" xfId="0" applyFont="1" applyFill="1" applyBorder="1" applyAlignment="1">
      <alignment wrapText="1"/>
    </xf>
    <xf numFmtId="4" fontId="9" fillId="15" borderId="4" xfId="0" applyNumberFormat="1" applyFont="1" applyFill="1" applyBorder="1"/>
    <xf numFmtId="4" fontId="50" fillId="15" borderId="4" xfId="0" applyNumberFormat="1" applyFont="1" applyFill="1" applyBorder="1"/>
    <xf numFmtId="4" fontId="9" fillId="0" borderId="8" xfId="0" applyNumberFormat="1" applyFont="1" applyFill="1" applyBorder="1"/>
    <xf numFmtId="0" fontId="28" fillId="0" borderId="0" xfId="4" applyAlignment="1">
      <alignment horizontal="center"/>
    </xf>
    <xf numFmtId="4" fontId="32" fillId="0" borderId="49" xfId="4" applyNumberFormat="1" applyFont="1" applyBorder="1"/>
    <xf numFmtId="166" fontId="28" fillId="0" borderId="0" xfId="4" applyNumberFormat="1" applyFill="1"/>
    <xf numFmtId="0" fontId="28" fillId="0" borderId="0" xfId="4" applyAlignment="1"/>
    <xf numFmtId="166" fontId="28" fillId="0" borderId="0" xfId="4" applyNumberFormat="1" applyAlignment="1"/>
    <xf numFmtId="3" fontId="12" fillId="17" borderId="49" xfId="5" applyNumberFormat="1" applyFont="1" applyFill="1" applyBorder="1" applyAlignment="1">
      <alignment horizontal="right" vertical="center"/>
    </xf>
    <xf numFmtId="3" fontId="12" fillId="17" borderId="20" xfId="5" applyNumberFormat="1" applyFont="1" applyFill="1" applyBorder="1" applyAlignment="1">
      <alignment horizontal="right" vertical="center"/>
    </xf>
    <xf numFmtId="3" fontId="28" fillId="6" borderId="49" xfId="4" applyNumberFormat="1" applyFill="1" applyBorder="1"/>
    <xf numFmtId="10" fontId="28" fillId="0" borderId="59" xfId="4" applyNumberFormat="1" applyBorder="1"/>
    <xf numFmtId="166" fontId="28" fillId="0" borderId="0" xfId="4" applyNumberFormat="1"/>
    <xf numFmtId="4" fontId="28" fillId="0" borderId="20" xfId="4" applyNumberFormat="1" applyBorder="1"/>
    <xf numFmtId="4" fontId="22" fillId="17" borderId="49" xfId="4" applyNumberFormat="1" applyFont="1" applyFill="1" applyBorder="1" applyAlignment="1">
      <alignment horizontal="right"/>
    </xf>
    <xf numFmtId="4" fontId="22" fillId="17" borderId="0" xfId="4" applyNumberFormat="1" applyFont="1" applyFill="1" applyAlignment="1">
      <alignment horizontal="right"/>
    </xf>
    <xf numFmtId="4" fontId="22" fillId="17" borderId="0" xfId="4" applyNumberFormat="1" applyFont="1" applyFill="1" applyBorder="1" applyAlignment="1">
      <alignment horizontal="right"/>
    </xf>
    <xf numFmtId="167" fontId="28" fillId="0" borderId="22" xfId="4" applyNumberFormat="1" applyBorder="1" applyAlignment="1"/>
    <xf numFmtId="0" fontId="32" fillId="0" borderId="55" xfId="4" applyFont="1" applyBorder="1"/>
    <xf numFmtId="0" fontId="32" fillId="0" borderId="79" xfId="4" applyFont="1" applyBorder="1"/>
    <xf numFmtId="4" fontId="28" fillId="0" borderId="79" xfId="4" applyNumberFormat="1" applyFill="1" applyBorder="1"/>
    <xf numFmtId="4" fontId="30" fillId="0" borderId="79" xfId="4" applyNumberFormat="1" applyFont="1" applyBorder="1"/>
    <xf numFmtId="165" fontId="8" fillId="0" borderId="49" xfId="1" applyNumberFormat="1" applyFont="1" applyFill="1" applyBorder="1"/>
    <xf numFmtId="0" fontId="1" fillId="0" borderId="5" xfId="0" applyFont="1" applyBorder="1"/>
    <xf numFmtId="49" fontId="1" fillId="0" borderId="7" xfId="0" applyNumberFormat="1" applyFont="1" applyBorder="1" applyAlignment="1">
      <alignment horizontal="right"/>
    </xf>
    <xf numFmtId="49" fontId="1" fillId="0" borderId="7" xfId="0" applyNumberFormat="1" applyFont="1" applyFill="1" applyBorder="1" applyAlignment="1">
      <alignment horizontal="right"/>
    </xf>
    <xf numFmtId="0" fontId="1" fillId="0" borderId="8" xfId="0" applyFont="1" applyBorder="1"/>
    <xf numFmtId="49" fontId="1" fillId="0" borderId="9" xfId="0" applyNumberFormat="1" applyFont="1" applyBorder="1" applyAlignment="1">
      <alignment horizontal="right"/>
    </xf>
    <xf numFmtId="49" fontId="1" fillId="0" borderId="9" xfId="0" applyNumberFormat="1" applyFont="1" applyFill="1" applyBorder="1" applyAlignment="1">
      <alignment horizontal="right"/>
    </xf>
    <xf numFmtId="0" fontId="1" fillId="0" borderId="10" xfId="0" applyFont="1" applyBorder="1"/>
    <xf numFmtId="17" fontId="1" fillId="0" borderId="10" xfId="0" applyNumberFormat="1" applyFont="1" applyBorder="1" applyAlignment="1">
      <alignment horizontal="left"/>
    </xf>
    <xf numFmtId="49" fontId="1" fillId="0" borderId="12" xfId="0" applyNumberFormat="1" applyFont="1" applyBorder="1" applyAlignment="1">
      <alignment horizontal="right"/>
    </xf>
    <xf numFmtId="49" fontId="1" fillId="0" borderId="12" xfId="0" applyNumberFormat="1" applyFont="1" applyFill="1" applyBorder="1" applyAlignment="1">
      <alignment horizontal="right"/>
    </xf>
    <xf numFmtId="49" fontId="1" fillId="0" borderId="10" xfId="0" applyNumberFormat="1" applyFont="1" applyBorder="1" applyAlignment="1">
      <alignment horizontal="left"/>
    </xf>
    <xf numFmtId="0" fontId="8" fillId="0" borderId="0" xfId="0" applyFont="1" applyAlignment="1">
      <alignment horizontal="center"/>
    </xf>
    <xf numFmtId="4" fontId="51" fillId="18" borderId="30" xfId="0" applyNumberFormat="1" applyFont="1" applyFill="1" applyBorder="1" applyAlignment="1">
      <alignment horizontal="right"/>
    </xf>
    <xf numFmtId="4" fontId="52" fillId="18" borderId="30" xfId="0" applyNumberFormat="1" applyFont="1" applyFill="1" applyBorder="1" applyAlignment="1">
      <alignment horizontal="right"/>
    </xf>
    <xf numFmtId="4" fontId="52" fillId="18" borderId="30" xfId="0" applyNumberFormat="1" applyFont="1" applyFill="1" applyBorder="1" applyAlignment="1"/>
    <xf numFmtId="4" fontId="52" fillId="18" borderId="30" xfId="0" applyNumberFormat="1" applyFont="1" applyFill="1" applyBorder="1"/>
    <xf numFmtId="4" fontId="51" fillId="18" borderId="0" xfId="4" applyNumberFormat="1" applyFont="1" applyFill="1"/>
    <xf numFmtId="0" fontId="33" fillId="9" borderId="49" xfId="4" applyFont="1" applyFill="1" applyBorder="1" applyAlignment="1">
      <alignment horizontal="center" vertical="center" wrapText="1"/>
    </xf>
    <xf numFmtId="0" fontId="33" fillId="9" borderId="56" xfId="4" applyFont="1" applyFill="1" applyBorder="1" applyAlignment="1">
      <alignment wrapText="1"/>
    </xf>
    <xf numFmtId="0" fontId="33" fillId="9" borderId="56" xfId="4" applyFont="1" applyFill="1" applyBorder="1" applyAlignment="1">
      <alignment horizontal="center" vertical="center" wrapText="1"/>
    </xf>
    <xf numFmtId="0" fontId="33" fillId="9" borderId="21" xfId="4" applyFont="1" applyFill="1" applyBorder="1" applyAlignment="1">
      <alignment horizontal="center" vertical="center" wrapText="1"/>
    </xf>
    <xf numFmtId="0" fontId="33" fillId="19" borderId="49" xfId="4" applyFont="1" applyFill="1" applyBorder="1" applyAlignment="1">
      <alignment horizontal="center" vertical="center" wrapText="1"/>
    </xf>
    <xf numFmtId="0" fontId="33" fillId="19" borderId="56" xfId="4" applyFont="1" applyFill="1" applyBorder="1" applyAlignment="1">
      <alignment horizontal="center" wrapText="1"/>
    </xf>
    <xf numFmtId="0" fontId="33" fillId="19" borderId="56" xfId="4" applyFont="1" applyFill="1" applyBorder="1" applyAlignment="1">
      <alignment horizontal="center" vertical="center" wrapText="1"/>
    </xf>
    <xf numFmtId="0" fontId="33" fillId="19" borderId="21" xfId="4" applyFont="1" applyFill="1" applyBorder="1" applyAlignment="1">
      <alignment horizontal="center" vertical="center" wrapText="1"/>
    </xf>
    <xf numFmtId="0" fontId="33" fillId="19" borderId="56" xfId="4" applyFont="1" applyFill="1" applyBorder="1" applyAlignment="1">
      <alignment wrapText="1"/>
    </xf>
    <xf numFmtId="0" fontId="8" fillId="19" borderId="4" xfId="0" applyFont="1" applyFill="1" applyBorder="1" applyAlignment="1">
      <alignment horizontal="center" vertical="center"/>
    </xf>
    <xf numFmtId="0" fontId="8" fillId="19" borderId="5" xfId="0" applyFont="1" applyFill="1" applyBorder="1" applyAlignment="1">
      <alignment horizontal="center" vertical="center"/>
    </xf>
    <xf numFmtId="0" fontId="5" fillId="19" borderId="37" xfId="0" applyFont="1" applyFill="1" applyBorder="1" applyAlignment="1">
      <alignment horizontal="center"/>
    </xf>
    <xf numFmtId="0" fontId="5" fillId="19" borderId="36" xfId="0" applyFont="1" applyFill="1" applyBorder="1" applyAlignment="1">
      <alignment horizontal="center"/>
    </xf>
    <xf numFmtId="167" fontId="7" fillId="0" borderId="43" xfId="0" applyNumberFormat="1" applyFont="1" applyFill="1" applyBorder="1"/>
    <xf numFmtId="165" fontId="7" fillId="0" borderId="44" xfId="0" applyNumberFormat="1" applyFont="1" applyFill="1" applyBorder="1"/>
    <xf numFmtId="168" fontId="7" fillId="0" borderId="43" xfId="0" applyNumberFormat="1" applyFont="1" applyFill="1" applyBorder="1"/>
    <xf numFmtId="168" fontId="7" fillId="0" borderId="10" xfId="0" applyNumberFormat="1" applyFont="1" applyFill="1" applyBorder="1"/>
    <xf numFmtId="3" fontId="0" fillId="0" borderId="44" xfId="0" applyNumberFormat="1" applyFont="1" applyFill="1" applyBorder="1" applyAlignment="1"/>
    <xf numFmtId="167" fontId="0" fillId="0" borderId="43" xfId="0" applyNumberFormat="1" applyFont="1" applyFill="1" applyBorder="1" applyAlignment="1"/>
    <xf numFmtId="167" fontId="0" fillId="0" borderId="11" xfId="0" applyNumberFormat="1" applyFont="1" applyFill="1" applyBorder="1" applyAlignment="1"/>
    <xf numFmtId="3" fontId="0" fillId="0" borderId="76" xfId="0" applyNumberFormat="1" applyFont="1" applyFill="1" applyBorder="1" applyAlignment="1"/>
    <xf numFmtId="167" fontId="0" fillId="0" borderId="18" xfId="0" applyNumberFormat="1" applyFont="1" applyFill="1" applyBorder="1" applyAlignment="1"/>
    <xf numFmtId="3" fontId="0" fillId="0" borderId="11" xfId="0" applyNumberFormat="1" applyFont="1" applyFill="1" applyBorder="1" applyAlignment="1"/>
    <xf numFmtId="167" fontId="0" fillId="0" borderId="43" xfId="0" applyNumberFormat="1" applyFont="1" applyBorder="1" applyAlignment="1"/>
    <xf numFmtId="3" fontId="0" fillId="0" borderId="44" xfId="0" applyNumberFormat="1" applyFont="1" applyBorder="1" applyAlignment="1"/>
    <xf numFmtId="167" fontId="0" fillId="0" borderId="11" xfId="0" applyNumberFormat="1" applyFont="1" applyBorder="1" applyAlignment="1"/>
    <xf numFmtId="3" fontId="0" fillId="0" borderId="76" xfId="0" applyNumberFormat="1" applyFont="1" applyBorder="1" applyAlignment="1"/>
    <xf numFmtId="3" fontId="0" fillId="0" borderId="47" xfId="0" applyNumberFormat="1" applyFont="1" applyFill="1" applyBorder="1" applyAlignment="1"/>
    <xf numFmtId="167" fontId="0" fillId="0" borderId="3" xfId="0" applyNumberFormat="1" applyFont="1" applyFill="1" applyBorder="1" applyAlignment="1"/>
    <xf numFmtId="3" fontId="0" fillId="0" borderId="47" xfId="0" applyNumberFormat="1" applyFont="1" applyBorder="1" applyAlignment="1"/>
    <xf numFmtId="167" fontId="0" fillId="0" borderId="34" xfId="0" applyNumberFormat="1" applyFont="1" applyFill="1" applyBorder="1" applyAlignment="1"/>
    <xf numFmtId="3" fontId="0" fillId="0" borderId="37" xfId="0" applyNumberFormat="1" applyFont="1" applyFill="1" applyBorder="1" applyAlignment="1"/>
    <xf numFmtId="3" fontId="0" fillId="0" borderId="64" xfId="0" applyNumberFormat="1" applyFont="1" applyFill="1" applyBorder="1" applyAlignment="1"/>
    <xf numFmtId="167" fontId="0" fillId="0" borderId="65" xfId="0" applyNumberFormat="1" applyFont="1" applyFill="1" applyBorder="1" applyAlignment="1"/>
    <xf numFmtId="3" fontId="0" fillId="0" borderId="64" xfId="0" applyNumberFormat="1" applyFont="1" applyBorder="1" applyAlignment="1"/>
    <xf numFmtId="167" fontId="7" fillId="0" borderId="53" xfId="0" applyNumberFormat="1" applyFont="1" applyFill="1" applyBorder="1"/>
    <xf numFmtId="165" fontId="7" fillId="0" borderId="54" xfId="0" applyNumberFormat="1" applyFont="1" applyFill="1" applyBorder="1"/>
    <xf numFmtId="168" fontId="7" fillId="0" borderId="53" xfId="0" applyNumberFormat="1" applyFont="1" applyFill="1" applyBorder="1"/>
    <xf numFmtId="168" fontId="7" fillId="0" borderId="51" xfId="0" applyNumberFormat="1" applyFont="1" applyFill="1" applyBorder="1"/>
    <xf numFmtId="3" fontId="0" fillId="0" borderId="54" xfId="0" applyNumberFormat="1" applyFont="1" applyFill="1" applyBorder="1"/>
    <xf numFmtId="167" fontId="0" fillId="0" borderId="50" xfId="0" applyNumberFormat="1" applyFont="1" applyFill="1" applyBorder="1"/>
    <xf numFmtId="3" fontId="0" fillId="0" borderId="52" xfId="0" applyNumberFormat="1" applyFont="1" applyFill="1" applyBorder="1"/>
    <xf numFmtId="167" fontId="0" fillId="0" borderId="53" xfId="0" applyNumberFormat="1" applyFont="1" applyFill="1" applyBorder="1"/>
    <xf numFmtId="167" fontId="0" fillId="0" borderId="53" xfId="0" applyNumberFormat="1" applyFont="1" applyBorder="1"/>
    <xf numFmtId="3" fontId="0" fillId="0" borderId="54" xfId="0" applyNumberFormat="1" applyFont="1" applyBorder="1"/>
    <xf numFmtId="167" fontId="0" fillId="0" borderId="54" xfId="0" applyNumberFormat="1" applyFont="1" applyBorder="1"/>
    <xf numFmtId="0" fontId="8" fillId="19" borderId="14" xfId="0" applyFont="1" applyFill="1" applyBorder="1" applyAlignment="1">
      <alignment horizontal="center"/>
    </xf>
    <xf numFmtId="0" fontId="0" fillId="19" borderId="14" xfId="0" applyFill="1" applyBorder="1" applyAlignment="1">
      <alignment horizontal="center"/>
    </xf>
    <xf numFmtId="0" fontId="0" fillId="19" borderId="14" xfId="0" applyFill="1" applyBorder="1"/>
    <xf numFmtId="0" fontId="0" fillId="19" borderId="4" xfId="0" applyFill="1" applyBorder="1"/>
    <xf numFmtId="2" fontId="8" fillId="19" borderId="4" xfId="0" applyNumberFormat="1" applyFont="1" applyFill="1" applyBorder="1" applyAlignment="1">
      <alignment horizontal="center"/>
    </xf>
    <xf numFmtId="0" fontId="8" fillId="19" borderId="4" xfId="0" applyFont="1" applyFill="1" applyBorder="1" applyAlignment="1">
      <alignment horizontal="center"/>
    </xf>
    <xf numFmtId="4" fontId="8" fillId="19" borderId="4" xfId="0" applyNumberFormat="1" applyFont="1" applyFill="1" applyBorder="1" applyAlignment="1">
      <alignment horizontal="center" vertical="center" wrapText="1"/>
    </xf>
    <xf numFmtId="0" fontId="8" fillId="19" borderId="1" xfId="0" applyFont="1" applyFill="1" applyBorder="1" applyAlignment="1">
      <alignment horizontal="center"/>
    </xf>
    <xf numFmtId="0" fontId="0" fillId="19" borderId="4" xfId="0" applyFill="1" applyBorder="1" applyAlignment="1">
      <alignment horizontal="center" vertical="center" wrapText="1"/>
    </xf>
    <xf numFmtId="49" fontId="8" fillId="19" borderId="32" xfId="0" applyNumberFormat="1" applyFont="1" applyFill="1" applyBorder="1" applyAlignment="1">
      <alignment horizontal="center"/>
    </xf>
    <xf numFmtId="0" fontId="8" fillId="19" borderId="32" xfId="0" applyFont="1" applyFill="1" applyBorder="1" applyAlignment="1">
      <alignment horizontal="center"/>
    </xf>
    <xf numFmtId="9" fontId="8" fillId="19" borderId="32" xfId="0" applyNumberFormat="1" applyFont="1" applyFill="1" applyBorder="1" applyAlignment="1">
      <alignment horizontal="center"/>
    </xf>
    <xf numFmtId="0" fontId="0" fillId="19" borderId="32" xfId="0" applyFill="1" applyBorder="1" applyAlignment="1">
      <alignment horizontal="center" vertical="center" wrapText="1"/>
    </xf>
    <xf numFmtId="0" fontId="8" fillId="19" borderId="33" xfId="0" applyFont="1" applyFill="1" applyBorder="1" applyAlignment="1">
      <alignment horizontal="center"/>
    </xf>
    <xf numFmtId="0" fontId="8" fillId="19" borderId="37" xfId="0" applyFont="1" applyFill="1" applyBorder="1" applyAlignment="1">
      <alignment horizontal="center" vertical="center" wrapText="1"/>
    </xf>
    <xf numFmtId="0" fontId="5" fillId="0" borderId="0" xfId="0" applyFont="1" applyAlignment="1"/>
    <xf numFmtId="0" fontId="8" fillId="0" borderId="0" xfId="0" applyFont="1" applyAlignment="1"/>
    <xf numFmtId="0" fontId="8" fillId="0" borderId="0" xfId="0" applyFont="1" applyBorder="1" applyAlignment="1">
      <alignment vertical="justify"/>
    </xf>
    <xf numFmtId="0" fontId="4" fillId="0" borderId="0" xfId="0" applyFont="1" applyAlignment="1"/>
    <xf numFmtId="0" fontId="4" fillId="0" borderId="0" xfId="0" applyFont="1" applyBorder="1" applyAlignment="1"/>
    <xf numFmtId="49" fontId="8" fillId="0" borderId="0" xfId="0" applyNumberFormat="1" applyFont="1" applyAlignment="1"/>
    <xf numFmtId="167" fontId="8" fillId="0" borderId="0" xfId="0" applyNumberFormat="1" applyFont="1" applyFill="1" applyBorder="1"/>
    <xf numFmtId="0" fontId="2"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6" fillId="0" borderId="0"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2" xfId="0" applyFont="1" applyFill="1" applyBorder="1" applyAlignment="1">
      <alignment horizontal="center" vertical="center"/>
    </xf>
    <xf numFmtId="0" fontId="8" fillId="19" borderId="3" xfId="0" applyFont="1" applyFill="1" applyBorder="1" applyAlignment="1">
      <alignment horizontal="center" vertical="center"/>
    </xf>
    <xf numFmtId="0" fontId="8" fillId="19" borderId="1" xfId="0" applyFont="1" applyFill="1" applyBorder="1" applyAlignment="1">
      <alignment horizontal="center" vertical="distributed"/>
    </xf>
    <xf numFmtId="0" fontId="8" fillId="19" borderId="3" xfId="0" applyFont="1" applyFill="1" applyBorder="1" applyAlignment="1">
      <alignment horizontal="center" vertical="distributed"/>
    </xf>
    <xf numFmtId="0" fontId="8" fillId="19" borderId="4" xfId="0" applyFont="1" applyFill="1" applyBorder="1" applyAlignment="1">
      <alignment horizontal="center" vertical="distributed"/>
    </xf>
    <xf numFmtId="0" fontId="8" fillId="19" borderId="4" xfId="0" applyFont="1" applyFill="1" applyBorder="1" applyAlignment="1">
      <alignment horizontal="center" vertic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8" fillId="19" borderId="5" xfId="0" applyFont="1" applyFill="1" applyBorder="1" applyAlignment="1">
      <alignment horizontal="center" vertical="center"/>
    </xf>
    <xf numFmtId="0" fontId="8" fillId="19" borderId="1" xfId="0" applyFont="1" applyFill="1" applyBorder="1" applyAlignment="1">
      <alignment horizontal="center" vertical="center" wrapText="1"/>
    </xf>
    <xf numFmtId="0" fontId="8" fillId="19" borderId="3" xfId="0" applyFont="1" applyFill="1" applyBorder="1" applyAlignment="1">
      <alignment horizontal="center" vertical="center" wrapText="1"/>
    </xf>
    <xf numFmtId="0" fontId="8" fillId="19" borderId="4"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justify"/>
    </xf>
    <xf numFmtId="0" fontId="8" fillId="19" borderId="1" xfId="0" applyFont="1" applyFill="1" applyBorder="1" applyAlignment="1">
      <alignment horizontal="center"/>
    </xf>
    <xf numFmtId="0" fontId="8" fillId="19" borderId="2" xfId="0" applyFont="1" applyFill="1" applyBorder="1" applyAlignment="1">
      <alignment horizontal="center"/>
    </xf>
    <xf numFmtId="0" fontId="8" fillId="19" borderId="3" xfId="0" applyFont="1" applyFill="1" applyBorder="1" applyAlignment="1">
      <alignment horizontal="center"/>
    </xf>
    <xf numFmtId="0" fontId="8" fillId="19" borderId="4" xfId="0" applyFont="1" applyFill="1" applyBorder="1" applyAlignment="1">
      <alignment vertical="center" wrapText="1"/>
    </xf>
    <xf numFmtId="0" fontId="11" fillId="19" borderId="4" xfId="0" applyFont="1" applyFill="1" applyBorder="1" applyAlignment="1">
      <alignment horizontal="center" vertical="distributed"/>
    </xf>
    <xf numFmtId="0" fontId="8" fillId="19" borderId="15"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0" borderId="0" xfId="0" applyFont="1" applyAlignment="1">
      <alignment horizontal="center"/>
    </xf>
    <xf numFmtId="0" fontId="8" fillId="19" borderId="13" xfId="0" applyFont="1" applyFill="1" applyBorder="1" applyAlignment="1">
      <alignment horizontal="center" vertical="center" wrapText="1"/>
    </xf>
    <xf numFmtId="0" fontId="8" fillId="19" borderId="23" xfId="0" applyFont="1" applyFill="1" applyBorder="1" applyAlignment="1">
      <alignment horizontal="center" vertical="center" wrapText="1"/>
    </xf>
    <xf numFmtId="0" fontId="8" fillId="19" borderId="31" xfId="0" applyFont="1" applyFill="1" applyBorder="1" applyAlignment="1">
      <alignment horizontal="center" vertical="center" wrapText="1"/>
    </xf>
    <xf numFmtId="0" fontId="8" fillId="19" borderId="17" xfId="0" applyFont="1" applyFill="1" applyBorder="1" applyAlignment="1">
      <alignment horizontal="center" vertical="center" wrapText="1"/>
    </xf>
    <xf numFmtId="0" fontId="4" fillId="19" borderId="16" xfId="0" applyFont="1" applyFill="1" applyBorder="1" applyAlignment="1">
      <alignment horizontal="center" vertical="center" wrapText="1"/>
    </xf>
    <xf numFmtId="0" fontId="5" fillId="19" borderId="25" xfId="0" applyFont="1" applyFill="1" applyBorder="1" applyAlignment="1">
      <alignment horizontal="center" vertical="center" wrapText="1"/>
    </xf>
    <xf numFmtId="0" fontId="5" fillId="19" borderId="29" xfId="0" applyFont="1" applyFill="1" applyBorder="1" applyAlignment="1">
      <alignment horizontal="center" vertical="center" wrapText="1"/>
    </xf>
    <xf numFmtId="0" fontId="8" fillId="19" borderId="24" xfId="0" applyFont="1" applyFill="1" applyBorder="1" applyAlignment="1">
      <alignment horizontal="center" vertical="center" wrapText="1"/>
    </xf>
    <xf numFmtId="0" fontId="8" fillId="19" borderId="28" xfId="0" applyFont="1" applyFill="1" applyBorder="1" applyAlignment="1">
      <alignment horizontal="center" vertical="center" wrapText="1"/>
    </xf>
    <xf numFmtId="0" fontId="8" fillId="19" borderId="34"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29" xfId="0"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0" xfId="0" applyFont="1" applyFill="1" applyBorder="1" applyAlignment="1">
      <alignment horizontal="center" vertical="center" wrapText="1"/>
    </xf>
    <xf numFmtId="0" fontId="9" fillId="19" borderId="21"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8" fillId="19" borderId="9" xfId="0" applyFont="1" applyFill="1" applyBorder="1" applyAlignment="1">
      <alignment horizontal="center" vertical="center" wrapText="1"/>
    </xf>
    <xf numFmtId="0" fontId="8" fillId="19" borderId="38"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9" fillId="19" borderId="76" xfId="0" applyFont="1" applyFill="1" applyBorder="1" applyAlignment="1">
      <alignment horizontal="center" vertical="center" wrapText="1"/>
    </xf>
    <xf numFmtId="0" fontId="21" fillId="0" borderId="0" xfId="0" applyFont="1" applyAlignment="1">
      <alignment horizontal="center" vertical="justify"/>
    </xf>
    <xf numFmtId="0" fontId="0" fillId="19" borderId="4" xfId="0" applyFill="1" applyBorder="1" applyAlignment="1">
      <alignment vertical="center" wrapText="1"/>
    </xf>
    <xf numFmtId="2" fontId="8" fillId="19" borderId="4" xfId="0" applyNumberFormat="1" applyFont="1" applyFill="1" applyBorder="1" applyAlignment="1">
      <alignment horizontal="center" wrapText="1"/>
    </xf>
    <xf numFmtId="0" fontId="0" fillId="19" borderId="32" xfId="0" applyFill="1" applyBorder="1" applyAlignment="1">
      <alignment vertical="center" wrapText="1"/>
    </xf>
    <xf numFmtId="0" fontId="8" fillId="19" borderId="4" xfId="0" applyFont="1" applyFill="1" applyBorder="1" applyAlignment="1">
      <alignment horizontal="center"/>
    </xf>
    <xf numFmtId="4" fontId="8" fillId="19" borderId="4" xfId="0" applyNumberFormat="1" applyFont="1" applyFill="1" applyBorder="1" applyAlignment="1">
      <alignment horizontal="center" vertical="center" wrapText="1"/>
    </xf>
    <xf numFmtId="0" fontId="0" fillId="19" borderId="4" xfId="0" applyFill="1" applyBorder="1" applyAlignment="1">
      <alignment horizontal="center" vertical="center" wrapText="1"/>
    </xf>
    <xf numFmtId="0" fontId="0" fillId="19" borderId="32" xfId="0" applyFill="1" applyBorder="1" applyAlignment="1">
      <alignment horizontal="center" vertical="center"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2" fontId="10" fillId="0" borderId="24"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43"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0" fillId="0" borderId="3" xfId="0" applyBorder="1" applyAlignment="1">
      <alignment horizontal="center" vertical="center" wrapText="1"/>
    </xf>
    <xf numFmtId="0" fontId="15" fillId="0" borderId="8"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165" fontId="18" fillId="0" borderId="0" xfId="0" applyNumberFormat="1" applyFont="1" applyAlignment="1">
      <alignment horizontal="left" vertical="center" wrapText="1"/>
    </xf>
    <xf numFmtId="0" fontId="18" fillId="0" borderId="0" xfId="0" applyFont="1" applyFill="1" applyAlignment="1">
      <alignment horizontal="left" wrapText="1"/>
    </xf>
    <xf numFmtId="0" fontId="18" fillId="0" borderId="14" xfId="0" applyFont="1" applyFill="1" applyBorder="1" applyAlignment="1">
      <alignment horizontal="left"/>
    </xf>
    <xf numFmtId="0" fontId="18" fillId="0" borderId="0" xfId="0" applyFont="1" applyAlignment="1">
      <alignment horizontal="left" vertical="center" wrapText="1"/>
    </xf>
    <xf numFmtId="0" fontId="8" fillId="0" borderId="0" xfId="0" applyFont="1" applyAlignment="1">
      <alignment horizontal="center" vertical="center"/>
    </xf>
    <xf numFmtId="0" fontId="8" fillId="0" borderId="55" xfId="0" applyFont="1" applyBorder="1" applyAlignment="1">
      <alignment horizontal="center" vertical="center" textRotation="90"/>
    </xf>
    <xf numFmtId="0" fontId="8" fillId="0" borderId="57" xfId="0" applyFont="1" applyBorder="1" applyAlignment="1">
      <alignment horizontal="center" vertical="center" textRotation="90"/>
    </xf>
    <xf numFmtId="0" fontId="8" fillId="0" borderId="59" xfId="0" applyFont="1" applyBorder="1" applyAlignment="1">
      <alignment horizontal="center" vertical="center" textRotation="90"/>
    </xf>
    <xf numFmtId="2" fontId="8" fillId="0" borderId="66" xfId="0" applyNumberFormat="1" applyFont="1" applyBorder="1" applyAlignment="1">
      <alignment horizontal="center" vertical="justify"/>
    </xf>
    <xf numFmtId="2" fontId="8" fillId="0" borderId="29" xfId="0" applyNumberFormat="1" applyFont="1" applyBorder="1" applyAlignment="1">
      <alignment horizontal="center" vertical="justify"/>
    </xf>
    <xf numFmtId="2" fontId="8" fillId="0" borderId="44" xfId="0" applyNumberFormat="1" applyFont="1" applyBorder="1" applyAlignment="1">
      <alignment horizontal="center" vertical="justify"/>
    </xf>
    <xf numFmtId="1" fontId="8" fillId="0" borderId="77" xfId="0" applyNumberFormat="1" applyFont="1" applyBorder="1" applyAlignment="1">
      <alignment horizontal="center"/>
    </xf>
    <xf numFmtId="1" fontId="8" fillId="0" borderId="11" xfId="0" applyNumberFormat="1" applyFont="1" applyBorder="1" applyAlignment="1">
      <alignment horizontal="center"/>
    </xf>
    <xf numFmtId="0" fontId="8" fillId="0" borderId="77" xfId="0" applyFont="1" applyBorder="1" applyAlignment="1">
      <alignment horizontal="center"/>
    </xf>
    <xf numFmtId="0" fontId="8" fillId="0" borderId="12" xfId="0" applyFont="1" applyBorder="1" applyAlignment="1">
      <alignment horizontal="center"/>
    </xf>
    <xf numFmtId="0" fontId="8" fillId="0" borderId="25" xfId="0" applyFont="1" applyFill="1" applyBorder="1" applyAlignment="1">
      <alignment horizontal="center" wrapText="1"/>
    </xf>
    <xf numFmtId="0" fontId="8" fillId="0" borderId="29" xfId="0" applyFont="1" applyFill="1" applyBorder="1" applyAlignment="1">
      <alignment horizontal="center" wrapText="1"/>
    </xf>
    <xf numFmtId="0" fontId="8" fillId="0" borderId="44" xfId="0" applyFont="1" applyFill="1" applyBorder="1" applyAlignment="1">
      <alignment horizontal="center" wrapText="1"/>
    </xf>
    <xf numFmtId="0" fontId="8" fillId="0" borderId="23" xfId="0" applyFont="1" applyBorder="1" applyAlignment="1">
      <alignment horizontal="center"/>
    </xf>
    <xf numFmtId="0" fontId="8" fillId="0" borderId="0" xfId="0" applyFont="1" applyBorder="1" applyAlignment="1">
      <alignment horizontal="center"/>
    </xf>
    <xf numFmtId="0" fontId="39" fillId="0" borderId="0" xfId="0" applyFont="1" applyAlignment="1">
      <alignment horizontal="left" vertical="center" wrapText="1"/>
    </xf>
    <xf numFmtId="165" fontId="39" fillId="0" borderId="0" xfId="0" applyNumberFormat="1" applyFont="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24" xfId="0" applyFont="1" applyBorder="1" applyAlignment="1">
      <alignment horizontal="center" vertical="justify"/>
    </xf>
    <xf numFmtId="0" fontId="8" fillId="0" borderId="28" xfId="0" applyFont="1" applyBorder="1" applyAlignment="1">
      <alignment horizontal="center" vertical="justify"/>
    </xf>
    <xf numFmtId="0" fontId="8" fillId="0" borderId="43" xfId="0" applyFont="1" applyBorder="1" applyAlignment="1">
      <alignment horizontal="center" vertical="justify"/>
    </xf>
    <xf numFmtId="0" fontId="8" fillId="0" borderId="25" xfId="0" applyFont="1" applyBorder="1" applyAlignment="1">
      <alignment horizontal="center" vertical="justify"/>
    </xf>
    <xf numFmtId="0" fontId="8" fillId="0" borderId="29" xfId="0" applyFont="1" applyBorder="1" applyAlignment="1">
      <alignment horizontal="center" vertical="justify"/>
    </xf>
    <xf numFmtId="0" fontId="8" fillId="0" borderId="44" xfId="0" applyFont="1" applyBorder="1" applyAlignment="1">
      <alignment horizontal="center" vertical="justify"/>
    </xf>
    <xf numFmtId="0" fontId="8" fillId="0" borderId="20" xfId="0" applyFont="1" applyBorder="1" applyAlignment="1">
      <alignment horizontal="left"/>
    </xf>
    <xf numFmtId="0" fontId="8" fillId="0" borderId="21" xfId="0" applyFont="1" applyBorder="1" applyAlignment="1">
      <alignment horizontal="left"/>
    </xf>
    <xf numFmtId="0" fontId="39" fillId="0" borderId="14" xfId="0" applyFont="1" applyBorder="1" applyAlignment="1">
      <alignment horizontal="left" vertical="center"/>
    </xf>
    <xf numFmtId="0" fontId="39" fillId="0" borderId="0" xfId="0" applyFont="1" applyAlignment="1">
      <alignment horizontal="left" vertical="justify"/>
    </xf>
    <xf numFmtId="0" fontId="0" fillId="0" borderId="0" xfId="0" applyAlignment="1">
      <alignment horizontal="right"/>
    </xf>
    <xf numFmtId="0" fontId="18" fillId="0" borderId="14" xfId="0" applyFont="1" applyBorder="1" applyAlignment="1">
      <alignment horizontal="left" vertical="center"/>
    </xf>
    <xf numFmtId="0" fontId="18" fillId="0" borderId="0" xfId="0" applyFont="1" applyAlignment="1">
      <alignment horizontal="left" vertical="justify"/>
    </xf>
    <xf numFmtId="0" fontId="35" fillId="0" borderId="0" xfId="0" applyFont="1" applyFill="1" applyBorder="1" applyAlignment="1">
      <alignment horizontal="left"/>
    </xf>
    <xf numFmtId="0" fontId="35" fillId="0" borderId="0" xfId="0" applyFont="1" applyAlignment="1">
      <alignment horizontal="left" vertical="center" wrapText="1"/>
    </xf>
    <xf numFmtId="0" fontId="8" fillId="0" borderId="7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1" xfId="0" applyFont="1" applyFill="1" applyBorder="1" applyAlignment="1">
      <alignment horizontal="center" vertical="justify"/>
    </xf>
    <xf numFmtId="0" fontId="14" fillId="0" borderId="8" xfId="0" applyFont="1" applyFill="1" applyBorder="1" applyAlignment="1">
      <alignment horizontal="center" vertical="justify"/>
    </xf>
    <xf numFmtId="0" fontId="14" fillId="0" borderId="66" xfId="0" applyFont="1" applyFill="1" applyBorder="1" applyAlignment="1">
      <alignment horizontal="center" vertical="justify"/>
    </xf>
    <xf numFmtId="0" fontId="14" fillId="0" borderId="29" xfId="0" applyFont="1" applyFill="1" applyBorder="1" applyAlignment="1">
      <alignment horizontal="center" vertical="justify"/>
    </xf>
    <xf numFmtId="0" fontId="8" fillId="0" borderId="0" xfId="0" applyFont="1" applyFill="1" applyBorder="1" applyAlignment="1">
      <alignment horizontal="center" wrapText="1"/>
    </xf>
    <xf numFmtId="0" fontId="11" fillId="0" borderId="1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55" xfId="0" applyFont="1" applyBorder="1" applyAlignment="1">
      <alignment horizontal="center" vertical="distributed"/>
    </xf>
    <xf numFmtId="0" fontId="11" fillId="0" borderId="57" xfId="0" applyFont="1" applyBorder="1" applyAlignment="1">
      <alignment horizontal="center" vertical="distributed"/>
    </xf>
    <xf numFmtId="0" fontId="11" fillId="0" borderId="55" xfId="0" applyFont="1" applyFill="1" applyBorder="1" applyAlignment="1">
      <alignment horizontal="center" vertical="distributed" wrapText="1"/>
    </xf>
    <xf numFmtId="0" fontId="11" fillId="0" borderId="57" xfId="0" applyFont="1" applyFill="1" applyBorder="1" applyAlignment="1">
      <alignment horizontal="center" vertical="distributed" wrapText="1"/>
    </xf>
    <xf numFmtId="0" fontId="11" fillId="0" borderId="56" xfId="0" applyFont="1" applyFill="1" applyBorder="1" applyAlignment="1">
      <alignment horizontal="center" wrapText="1"/>
    </xf>
    <xf numFmtId="0" fontId="11" fillId="0" borderId="21" xfId="0" applyFont="1" applyFill="1" applyBorder="1" applyAlignment="1">
      <alignment horizontal="center" wrapText="1"/>
    </xf>
    <xf numFmtId="0" fontId="11" fillId="0" borderId="20" xfId="0" applyFont="1" applyFill="1" applyBorder="1" applyAlignment="1">
      <alignment horizontal="center" wrapText="1"/>
    </xf>
    <xf numFmtId="0" fontId="11" fillId="0" borderId="55" xfId="0" applyFont="1" applyFill="1" applyBorder="1" applyAlignment="1">
      <alignment horizontal="center" vertical="distributed"/>
    </xf>
    <xf numFmtId="0" fontId="11" fillId="0" borderId="57" xfId="0" applyFont="1" applyFill="1" applyBorder="1" applyAlignment="1">
      <alignment horizontal="center" vertical="distributed"/>
    </xf>
    <xf numFmtId="0" fontId="10" fillId="0" borderId="55" xfId="0" applyFont="1" applyFill="1" applyBorder="1" applyAlignment="1">
      <alignment horizontal="center" vertical="distributed"/>
    </xf>
    <xf numFmtId="0" fontId="10" fillId="0" borderId="57" xfId="0" applyFont="1" applyFill="1" applyBorder="1" applyAlignment="1">
      <alignment horizontal="center" vertical="distributed"/>
    </xf>
    <xf numFmtId="0" fontId="14" fillId="0" borderId="55" xfId="0" applyFont="1" applyFill="1" applyBorder="1" applyAlignment="1">
      <alignment horizontal="center" vertical="distributed"/>
    </xf>
    <xf numFmtId="0" fontId="14" fillId="0" borderId="57" xfId="0" applyFont="1" applyFill="1" applyBorder="1" applyAlignment="1">
      <alignment horizontal="center" vertical="distributed"/>
    </xf>
    <xf numFmtId="0" fontId="0" fillId="0" borderId="0" xfId="0" applyAlignment="1">
      <alignment horizontal="justify" vertical="justify" wrapText="1"/>
    </xf>
    <xf numFmtId="0" fontId="0" fillId="0" borderId="0" xfId="0" applyFill="1" applyAlignment="1">
      <alignment horizontal="left" vertical="center" wrapText="1"/>
    </xf>
    <xf numFmtId="0" fontId="19" fillId="0" borderId="0" xfId="0" applyFont="1" applyFill="1" applyAlignment="1">
      <alignment horizontal="left" vertical="center" wrapText="1"/>
    </xf>
    <xf numFmtId="0" fontId="8" fillId="0" borderId="0" xfId="0" applyFont="1" applyBorder="1" applyAlignment="1">
      <alignment horizontal="center" vertical="justify"/>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1" xfId="0" applyFont="1" applyBorder="1" applyAlignment="1">
      <alignment horizontal="center" vertical="justify"/>
    </xf>
    <xf numFmtId="0" fontId="8" fillId="0" borderId="8" xfId="0" applyFont="1" applyBorder="1" applyAlignment="1">
      <alignment horizontal="center" vertical="justify"/>
    </xf>
    <xf numFmtId="0" fontId="8" fillId="0" borderId="71"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71" xfId="0" applyFont="1" applyFill="1" applyBorder="1" applyAlignment="1">
      <alignment horizontal="center" vertical="justify"/>
    </xf>
    <xf numFmtId="0" fontId="8" fillId="0" borderId="8" xfId="0" applyFont="1" applyFill="1" applyBorder="1" applyAlignment="1">
      <alignment horizontal="center" vertical="justify"/>
    </xf>
    <xf numFmtId="0" fontId="8" fillId="0" borderId="66" xfId="0" applyFont="1" applyFill="1" applyBorder="1" applyAlignment="1">
      <alignment horizontal="center" vertical="justify"/>
    </xf>
    <xf numFmtId="0" fontId="8" fillId="0" borderId="29" xfId="0" applyFont="1" applyFill="1" applyBorder="1" applyAlignment="1">
      <alignment horizontal="center" vertical="justify"/>
    </xf>
    <xf numFmtId="0" fontId="8" fillId="0" borderId="6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8" fillId="0" borderId="0" xfId="0" applyFont="1" applyBorder="1" applyAlignment="1">
      <alignment horizontal="left" vertical="center"/>
    </xf>
    <xf numFmtId="0" fontId="8" fillId="0" borderId="10" xfId="0" applyFont="1" applyFill="1" applyBorder="1" applyAlignment="1">
      <alignment horizontal="center" vertical="center" wrapText="1"/>
    </xf>
    <xf numFmtId="165" fontId="38" fillId="0" borderId="0" xfId="0" applyNumberFormat="1" applyFont="1" applyAlignment="1">
      <alignment horizontal="left" vertical="center" wrapText="1"/>
    </xf>
    <xf numFmtId="165" fontId="37" fillId="0" borderId="0" xfId="0" applyNumberFormat="1" applyFont="1" applyAlignment="1">
      <alignment horizontal="lef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2" fontId="8"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0" fontId="8" fillId="0" borderId="6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21" xfId="0" applyFont="1" applyFill="1" applyBorder="1" applyAlignment="1">
      <alignment horizontal="center" vertical="center"/>
    </xf>
    <xf numFmtId="4" fontId="10" fillId="0" borderId="55" xfId="0" applyNumberFormat="1" applyFont="1" applyFill="1" applyBorder="1" applyAlignment="1">
      <alignment horizontal="center" vertical="center" wrapText="1"/>
    </xf>
    <xf numFmtId="0" fontId="15" fillId="0" borderId="57" xfId="0" applyFont="1" applyBorder="1" applyAlignment="1">
      <alignment horizontal="center" vertical="center" wrapText="1"/>
    </xf>
    <xf numFmtId="0" fontId="15" fillId="0" borderId="59" xfId="0" applyFont="1" applyBorder="1" applyAlignment="1">
      <alignment horizontal="center" vertical="center" wrapText="1"/>
    </xf>
    <xf numFmtId="4" fontId="10" fillId="0" borderId="58" xfId="0" applyNumberFormat="1" applyFont="1" applyFill="1" applyBorder="1" applyAlignment="1">
      <alignment horizontal="center" vertical="center" wrapText="1"/>
    </xf>
    <xf numFmtId="0" fontId="15" fillId="0" borderId="30" xfId="0" applyFont="1" applyBorder="1" applyAlignment="1">
      <alignment horizontal="center" vertical="center" wrapText="1"/>
    </xf>
    <xf numFmtId="0" fontId="18" fillId="0" borderId="0" xfId="0" applyFont="1" applyFill="1" applyAlignment="1">
      <alignment horizontal="left" vertical="center" wrapText="1"/>
    </xf>
    <xf numFmtId="0" fontId="11" fillId="0" borderId="55" xfId="0" applyFont="1" applyFill="1" applyBorder="1" applyAlignment="1">
      <alignment horizontal="center" vertical="center" wrapText="1"/>
    </xf>
    <xf numFmtId="0" fontId="11" fillId="0" borderId="57" xfId="0" applyFont="1" applyFill="1" applyBorder="1" applyAlignment="1">
      <alignment horizontal="center" vertical="center" wrapText="1"/>
    </xf>
    <xf numFmtId="2" fontId="10" fillId="0" borderId="13" xfId="0" applyNumberFormat="1"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0" xfId="0" applyFont="1" applyBorder="1" applyAlignment="1">
      <alignment horizontal="center" vertical="center" wrapText="1"/>
    </xf>
    <xf numFmtId="4" fontId="10" fillId="0" borderId="57" xfId="0" applyNumberFormat="1" applyFont="1" applyFill="1" applyBorder="1" applyAlignment="1">
      <alignment horizontal="center" vertical="center" wrapText="1"/>
    </xf>
    <xf numFmtId="0" fontId="10" fillId="0" borderId="55" xfId="0" applyFont="1" applyFill="1" applyBorder="1" applyAlignment="1">
      <alignment horizontal="center" vertical="center"/>
    </xf>
    <xf numFmtId="0" fontId="10" fillId="0" borderId="57" xfId="0" applyFont="1" applyFill="1" applyBorder="1" applyAlignment="1">
      <alignment horizontal="center" vertical="center"/>
    </xf>
    <xf numFmtId="0" fontId="29" fillId="0" borderId="0" xfId="2" applyFont="1" applyAlignment="1">
      <alignment horizontal="center"/>
    </xf>
    <xf numFmtId="0" fontId="30" fillId="0" borderId="0" xfId="2" applyFont="1" applyAlignment="1">
      <alignment horizontal="center"/>
    </xf>
    <xf numFmtId="0" fontId="31" fillId="0" borderId="0" xfId="2" applyFont="1" applyAlignment="1">
      <alignment horizontal="center"/>
    </xf>
    <xf numFmtId="0" fontId="42" fillId="0" borderId="0" xfId="3" applyFont="1" applyAlignment="1">
      <alignment vertical="justify" wrapText="1"/>
    </xf>
    <xf numFmtId="0" fontId="37" fillId="0" borderId="0" xfId="0" applyFont="1" applyAlignment="1">
      <alignment vertical="justify"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69" xfId="0" applyFont="1" applyFill="1" applyBorder="1" applyAlignment="1">
      <alignment horizontal="left"/>
    </xf>
    <xf numFmtId="0" fontId="8" fillId="0" borderId="0" xfId="0" applyFont="1" applyFill="1" applyBorder="1" applyAlignment="1">
      <alignment horizontal="left"/>
    </xf>
    <xf numFmtId="0" fontId="8" fillId="0" borderId="9" xfId="0" applyFont="1" applyFill="1" applyBorder="1" applyAlignment="1">
      <alignment horizontal="left"/>
    </xf>
    <xf numFmtId="0" fontId="12" fillId="0" borderId="0" xfId="0" applyFont="1" applyFill="1" applyBorder="1" applyAlignment="1">
      <alignment horizontal="left"/>
    </xf>
    <xf numFmtId="0" fontId="7" fillId="0" borderId="0" xfId="0" applyFont="1" applyFill="1" applyBorder="1" applyAlignment="1">
      <alignment horizontal="left"/>
    </xf>
    <xf numFmtId="0" fontId="8" fillId="0" borderId="4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8" fillId="0" borderId="42"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4" xfId="0" applyFont="1" applyBorder="1" applyAlignment="1">
      <alignment horizontal="center" vertical="center"/>
    </xf>
    <xf numFmtId="0" fontId="8" fillId="8" borderId="20" xfId="0" applyFont="1" applyFill="1" applyBorder="1" applyAlignment="1">
      <alignment horizontal="center"/>
    </xf>
    <xf numFmtId="0" fontId="8" fillId="8" borderId="56" xfId="0" applyFont="1" applyFill="1" applyBorder="1" applyAlignment="1">
      <alignment horizontal="center"/>
    </xf>
    <xf numFmtId="0" fontId="7" fillId="0" borderId="23" xfId="0" applyFont="1" applyFill="1" applyBorder="1" applyAlignment="1">
      <alignment horizontal="left"/>
    </xf>
    <xf numFmtId="0" fontId="7" fillId="0" borderId="30" xfId="0" applyFont="1" applyFill="1" applyBorder="1" applyAlignment="1">
      <alignment horizontal="lef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39" xfId="0" applyFont="1" applyFill="1" applyBorder="1" applyAlignment="1">
      <alignment horizontal="left"/>
    </xf>
    <xf numFmtId="0" fontId="7" fillId="0" borderId="22" xfId="0" applyFont="1" applyFill="1" applyBorder="1" applyAlignment="1">
      <alignment horizontal="left"/>
    </xf>
    <xf numFmtId="0" fontId="7" fillId="0" borderId="38" xfId="0" applyFont="1" applyFill="1" applyBorder="1" applyAlignment="1">
      <alignment horizontal="left"/>
    </xf>
    <xf numFmtId="0" fontId="7" fillId="0" borderId="69" xfId="0" applyFont="1" applyFill="1" applyBorder="1" applyAlignment="1">
      <alignment horizontal="left"/>
    </xf>
    <xf numFmtId="0" fontId="7" fillId="0" borderId="9" xfId="0" applyFont="1" applyFill="1" applyBorder="1" applyAlignment="1">
      <alignment horizontal="left"/>
    </xf>
    <xf numFmtId="4" fontId="51" fillId="18" borderId="69" xfId="0" applyNumberFormat="1" applyFont="1" applyFill="1" applyBorder="1" applyAlignment="1">
      <alignment horizontal="right"/>
    </xf>
    <xf numFmtId="0" fontId="51" fillId="18" borderId="0" xfId="0" applyFont="1" applyFill="1" applyBorder="1" applyAlignment="1">
      <alignment horizontal="right"/>
    </xf>
    <xf numFmtId="0" fontId="51" fillId="18" borderId="30" xfId="0" applyFont="1" applyFill="1" applyBorder="1" applyAlignment="1">
      <alignment horizontal="right"/>
    </xf>
    <xf numFmtId="0" fontId="7" fillId="0" borderId="14" xfId="0" applyFont="1" applyFill="1" applyBorder="1" applyAlignment="1">
      <alignment horizontal="left"/>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8" fillId="7" borderId="49" xfId="0" applyFont="1" applyFill="1" applyBorder="1" applyAlignment="1">
      <alignment horizontal="left"/>
    </xf>
    <xf numFmtId="4" fontId="7" fillId="0" borderId="69" xfId="0" applyNumberFormat="1" applyFont="1" applyFill="1" applyBorder="1" applyAlignment="1">
      <alignment horizontal="right"/>
    </xf>
    <xf numFmtId="4" fontId="7" fillId="0" borderId="30" xfId="0" applyNumberFormat="1" applyFont="1" applyFill="1" applyBorder="1" applyAlignment="1">
      <alignment horizontal="right"/>
    </xf>
    <xf numFmtId="0" fontId="8" fillId="7" borderId="20" xfId="0" applyFont="1" applyFill="1" applyBorder="1" applyAlignment="1">
      <alignment horizontal="left"/>
    </xf>
    <xf numFmtId="0" fontId="8" fillId="7" borderId="56" xfId="0" applyFont="1" applyFill="1" applyBorder="1" applyAlignment="1">
      <alignment horizontal="left"/>
    </xf>
    <xf numFmtId="0" fontId="8" fillId="7" borderId="21" xfId="0" applyFont="1" applyFill="1" applyBorder="1" applyAlignment="1">
      <alignment horizontal="left"/>
    </xf>
    <xf numFmtId="4" fontId="8" fillId="7" borderId="20" xfId="0" applyNumberFormat="1" applyFont="1" applyFill="1" applyBorder="1" applyAlignment="1">
      <alignment horizontal="right"/>
    </xf>
    <xf numFmtId="4" fontId="8" fillId="7" borderId="56" xfId="0" applyNumberFormat="1" applyFont="1" applyFill="1" applyBorder="1" applyAlignment="1">
      <alignment horizontal="right"/>
    </xf>
    <xf numFmtId="0" fontId="8" fillId="7" borderId="21" xfId="0"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0" fontId="7" fillId="0" borderId="30" xfId="0"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0" xfId="0" applyNumberFormat="1" applyFont="1" applyFill="1" applyBorder="1" applyAlignment="1">
      <alignment horizontal="right"/>
    </xf>
    <xf numFmtId="4" fontId="7" fillId="0" borderId="56" xfId="0" applyNumberFormat="1" applyFont="1" applyFill="1" applyBorder="1" applyAlignment="1">
      <alignment horizontal="right"/>
    </xf>
    <xf numFmtId="4" fontId="7" fillId="0" borderId="21" xfId="0" applyNumberFormat="1" applyFont="1" applyFill="1" applyBorder="1" applyAlignment="1">
      <alignment horizontal="righ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62" xfId="0" applyFont="1" applyBorder="1" applyAlignment="1">
      <alignment horizontal="center"/>
    </xf>
    <xf numFmtId="0" fontId="8" fillId="0" borderId="68" xfId="0" applyFont="1" applyBorder="1" applyAlignment="1">
      <alignment horizontal="center"/>
    </xf>
    <xf numFmtId="0" fontId="8" fillId="0" borderId="65" xfId="0" applyFont="1" applyBorder="1" applyAlignment="1">
      <alignment horizontal="center"/>
    </xf>
    <xf numFmtId="0" fontId="8" fillId="0" borderId="23" xfId="0" applyFont="1" applyFill="1" applyBorder="1" applyAlignment="1">
      <alignment horizontal="left"/>
    </xf>
    <xf numFmtId="0" fontId="8" fillId="0" borderId="30" xfId="0" applyFont="1" applyFill="1" applyBorder="1" applyAlignment="1">
      <alignment horizontal="left"/>
    </xf>
    <xf numFmtId="0" fontId="7" fillId="0" borderId="74" xfId="0" applyFont="1" applyFill="1" applyBorder="1" applyAlignment="1">
      <alignment horizontal="left"/>
    </xf>
    <xf numFmtId="0" fontId="7" fillId="0" borderId="75" xfId="0" applyFont="1" applyFill="1" applyBorder="1" applyAlignment="1">
      <alignment horizontal="left"/>
    </xf>
    <xf numFmtId="4" fontId="7" fillId="14" borderId="75" xfId="0" applyNumberFormat="1" applyFont="1" applyFill="1" applyBorder="1" applyAlignment="1">
      <alignment horizontal="right"/>
    </xf>
    <xf numFmtId="4" fontId="7" fillId="14" borderId="76" xfId="0" applyNumberFormat="1" applyFont="1" applyFill="1" applyBorder="1" applyAlignment="1">
      <alignment horizontal="right"/>
    </xf>
    <xf numFmtId="0" fontId="8" fillId="0" borderId="63" xfId="0" applyFont="1" applyFill="1" applyBorder="1" applyAlignment="1">
      <alignment horizontal="left"/>
    </xf>
    <xf numFmtId="0" fontId="8" fillId="0" borderId="32" xfId="0" applyFont="1" applyFill="1" applyBorder="1" applyAlignment="1">
      <alignment horizontal="left"/>
    </xf>
    <xf numFmtId="4" fontId="8" fillId="14" borderId="32" xfId="0" applyNumberFormat="1" applyFont="1" applyFill="1" applyBorder="1" applyAlignment="1">
      <alignment horizontal="right"/>
    </xf>
    <xf numFmtId="0" fontId="8" fillId="14" borderId="64" xfId="0" applyFont="1" applyFill="1" applyBorder="1" applyAlignment="1">
      <alignment horizontal="right"/>
    </xf>
    <xf numFmtId="0" fontId="7" fillId="0" borderId="46" xfId="0" applyFont="1" applyFill="1" applyBorder="1" applyAlignment="1">
      <alignment horizontal="left"/>
    </xf>
    <xf numFmtId="0" fontId="7" fillId="0" borderId="4" xfId="0" applyFont="1" applyFill="1" applyBorder="1" applyAlignment="1">
      <alignment horizontal="left"/>
    </xf>
    <xf numFmtId="4" fontId="7" fillId="14" borderId="4" xfId="0" applyNumberFormat="1" applyFont="1" applyFill="1" applyBorder="1" applyAlignment="1">
      <alignment horizontal="right"/>
    </xf>
    <xf numFmtId="4" fontId="7" fillId="14" borderId="47" xfId="0" applyNumberFormat="1" applyFont="1" applyFill="1" applyBorder="1" applyAlignment="1">
      <alignment horizontal="right"/>
    </xf>
    <xf numFmtId="0" fontId="4" fillId="0" borderId="0" xfId="0" applyFont="1" applyAlignment="1">
      <alignment horizontal="center"/>
    </xf>
    <xf numFmtId="0" fontId="7" fillId="0" borderId="0" xfId="0" applyFont="1" applyFill="1" applyBorder="1" applyAlignment="1">
      <alignment horizontal="justify" vertical="justify"/>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8" fillId="0" borderId="1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76" xfId="0" applyFont="1" applyFill="1" applyBorder="1" applyAlignment="1">
      <alignment horizontal="center"/>
    </xf>
    <xf numFmtId="0" fontId="29" fillId="0" borderId="0" xfId="4" applyFont="1" applyAlignment="1">
      <alignment horizontal="center"/>
    </xf>
    <xf numFmtId="0" fontId="30" fillId="0" borderId="0" xfId="4" applyFont="1" applyAlignment="1">
      <alignment horizontal="center"/>
    </xf>
    <xf numFmtId="0" fontId="31" fillId="0" borderId="0" xfId="4" applyFont="1" applyAlignment="1">
      <alignment horizontal="center"/>
    </xf>
    <xf numFmtId="0" fontId="33" fillId="9" borderId="1" xfId="4" applyFont="1" applyFill="1" applyBorder="1" applyAlignment="1">
      <alignment horizontal="left"/>
    </xf>
    <xf numFmtId="0" fontId="33" fillId="9" borderId="3" xfId="4" applyFont="1" applyFill="1" applyBorder="1" applyAlignment="1">
      <alignment horizontal="left"/>
    </xf>
    <xf numFmtId="0" fontId="47" fillId="15" borderId="4" xfId="0" applyFont="1" applyFill="1" applyBorder="1" applyAlignment="1">
      <alignment horizontal="center" vertical="center"/>
    </xf>
    <xf numFmtId="0" fontId="0" fillId="0" borderId="0" xfId="0" applyAlignment="1">
      <alignment horizontal="center"/>
    </xf>
    <xf numFmtId="0" fontId="47" fillId="0" borderId="0" xfId="0" applyFont="1" applyAlignment="1">
      <alignment horizontal="center" vertical="center"/>
    </xf>
    <xf numFmtId="0" fontId="48" fillId="15" borderId="5" xfId="0" applyFont="1" applyFill="1" applyBorder="1" applyAlignment="1">
      <alignment horizontal="center" vertical="center"/>
    </xf>
    <xf numFmtId="0" fontId="48" fillId="15" borderId="8" xfId="0" applyFont="1" applyFill="1" applyBorder="1" applyAlignment="1">
      <alignment horizontal="center" vertical="center"/>
    </xf>
    <xf numFmtId="0" fontId="48" fillId="15" borderId="10" xfId="0" applyFont="1" applyFill="1" applyBorder="1" applyAlignment="1">
      <alignment horizontal="center" vertical="center"/>
    </xf>
    <xf numFmtId="0" fontId="48" fillId="15" borderId="1" xfId="0" applyFont="1" applyFill="1" applyBorder="1" applyAlignment="1">
      <alignment horizontal="center"/>
    </xf>
    <xf numFmtId="0" fontId="48" fillId="15" borderId="3" xfId="0" applyFont="1" applyFill="1" applyBorder="1" applyAlignment="1">
      <alignment horizontal="center"/>
    </xf>
    <xf numFmtId="0" fontId="48" fillId="16" borderId="5" xfId="0" applyFont="1" applyFill="1" applyBorder="1" applyAlignment="1">
      <alignment horizontal="center" vertical="center" wrapText="1"/>
    </xf>
    <xf numFmtId="0" fontId="48" fillId="16" borderId="8" xfId="0" applyFont="1" applyFill="1" applyBorder="1" applyAlignment="1">
      <alignment horizontal="center" vertical="center" wrapText="1"/>
    </xf>
    <xf numFmtId="0" fontId="48" fillId="16" borderId="10" xfId="0" applyFont="1" applyFill="1" applyBorder="1" applyAlignment="1">
      <alignment horizontal="center" vertical="center" wrapText="1"/>
    </xf>
    <xf numFmtId="0" fontId="47" fillId="15" borderId="5" xfId="0" applyFont="1" applyFill="1" applyBorder="1" applyAlignment="1">
      <alignment horizontal="center" vertical="center"/>
    </xf>
    <xf numFmtId="0" fontId="47" fillId="15" borderId="8" xfId="0" applyFont="1" applyFill="1" applyBorder="1" applyAlignment="1">
      <alignment horizontal="center" vertical="center"/>
    </xf>
    <xf numFmtId="0" fontId="47" fillId="15" borderId="10" xfId="0" applyFont="1" applyFill="1" applyBorder="1" applyAlignment="1">
      <alignment horizontal="center" vertical="center"/>
    </xf>
    <xf numFmtId="0" fontId="28" fillId="0" borderId="0" xfId="4" applyAlignment="1">
      <alignment horizontal="center"/>
    </xf>
    <xf numFmtId="0" fontId="30" fillId="10" borderId="20" xfId="4" applyFont="1" applyFill="1" applyBorder="1" applyAlignment="1">
      <alignment horizontal="center"/>
    </xf>
    <xf numFmtId="0" fontId="30" fillId="10" borderId="56" xfId="4" applyFont="1" applyFill="1" applyBorder="1" applyAlignment="1">
      <alignment horizontal="center"/>
    </xf>
    <xf numFmtId="0" fontId="30" fillId="10" borderId="21" xfId="4" applyFont="1" applyFill="1" applyBorder="1" applyAlignment="1">
      <alignment horizontal="center"/>
    </xf>
    <xf numFmtId="0" fontId="28" fillId="0" borderId="22" xfId="4" applyBorder="1" applyAlignment="1">
      <alignment horizontal="center"/>
    </xf>
    <xf numFmtId="0" fontId="30" fillId="10" borderId="0" xfId="4" applyFont="1" applyFill="1" applyAlignment="1">
      <alignment horizontal="center"/>
    </xf>
    <xf numFmtId="0" fontId="28" fillId="0" borderId="0" xfId="4" applyFill="1" applyBorder="1" applyAlignment="1">
      <alignment horizontal="center"/>
    </xf>
    <xf numFmtId="0" fontId="28" fillId="0" borderId="0" xfId="4" applyBorder="1" applyAlignment="1">
      <alignment horizontal="center"/>
    </xf>
    <xf numFmtId="0" fontId="30" fillId="11" borderId="0" xfId="4" applyFont="1" applyFill="1" applyAlignment="1">
      <alignment horizontal="center"/>
    </xf>
    <xf numFmtId="0" fontId="28" fillId="0" borderId="22" xfId="4" applyFont="1" applyBorder="1" applyAlignment="1">
      <alignment horizontal="center"/>
    </xf>
    <xf numFmtId="0" fontId="45" fillId="12" borderId="0" xfId="4" applyFont="1" applyFill="1" applyAlignment="1">
      <alignment horizontal="center" vertical="center"/>
    </xf>
    <xf numFmtId="0" fontId="30" fillId="6" borderId="0" xfId="4" applyFont="1" applyFill="1" applyAlignment="1">
      <alignment horizontal="center"/>
    </xf>
    <xf numFmtId="0" fontId="53" fillId="20" borderId="0" xfId="4" applyFont="1" applyFill="1" applyAlignment="1">
      <alignment horizontal="center"/>
    </xf>
    <xf numFmtId="0" fontId="8" fillId="0" borderId="19" xfId="0" applyFont="1" applyFill="1" applyBorder="1" applyAlignment="1">
      <alignment horizont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4" fontId="7" fillId="0" borderId="4" xfId="0" applyNumberFormat="1" applyFont="1" applyBorder="1" applyAlignment="1">
      <alignment horizontal="center" vertical="center"/>
    </xf>
    <xf numFmtId="0" fontId="8" fillId="0" borderId="4" xfId="0" applyFont="1" applyBorder="1" applyAlignment="1">
      <alignment horizontal="center"/>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5" xfId="0" applyFont="1" applyBorder="1" applyAlignment="1">
      <alignment horizontal="center" wrapText="1"/>
    </xf>
    <xf numFmtId="0" fontId="8" fillId="0" borderId="4" xfId="0" applyFont="1" applyBorder="1" applyAlignment="1">
      <alignment horizontal="center" wrapText="1"/>
    </xf>
  </cellXfs>
  <cellStyles count="8">
    <cellStyle name="Moneda" xfId="1" builtinId="4"/>
    <cellStyle name="Moneda 2" xfId="6"/>
    <cellStyle name="Normal" xfId="0" builtinId="0"/>
    <cellStyle name="Normal 2" xfId="4"/>
    <cellStyle name="Normal 2 2" xfId="5"/>
    <cellStyle name="Normal 3" xfId="2"/>
    <cellStyle name="Normal 3 2" xfId="3"/>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5" cy="6191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628650</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2402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s\CP.LIBIA%20ESTRADA\Desktop\2020\factores%202020\formulas%20coeficiente%20202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uarios\CP.LIBIA%20ESTRADA\Downloads\ESTIMACION%20DE%20PARTICIPACIONES%202017%20POE%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ECAUDACION%20FEDERAL\Presupuesto%202020\Publicacion\CALCULO%20DEL%20COEFICIENTE%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22\Distribuci&#243;n%20y%20Calendarizaci&#243;n%20para%20la%20Ministraci&#243;n%20durante%20el%20Ejercicio%20Fiscal%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20"/>
      <sheetName val="Consolidado"/>
      <sheetName val="FGP"/>
      <sheetName val="FFM"/>
      <sheetName val="FOCO"/>
      <sheetName val="IEPS TyA"/>
      <sheetName val="IEPS GyD "/>
      <sheetName val="FOFIR"/>
      <sheetName val="FOCO ISAN"/>
      <sheetName val="Incentivo ISAN"/>
      <sheetName val="Predial y Agua"/>
      <sheetName val="CENSO 2015"/>
      <sheetName val="IEPS 2014 "/>
      <sheetName val="F.G.P. 2020"/>
      <sheetName val="F.F.M.2020"/>
      <sheetName val="FOCO 2020"/>
      <sheetName val="IEPS2020"/>
      <sheetName val="IEPSGAS 2020"/>
      <sheetName val="FOFIR 2020"/>
      <sheetName val="FOCO ISAN "/>
      <sheetName val="ISAN Recaudacion"/>
      <sheetName val=" FOCO INCREMENTO"/>
      <sheetName val=" FOCO ESTIMACION"/>
      <sheetName val="FOFIR  INCREMENTO"/>
      <sheetName val="FFOR ESTIMACIONES"/>
      <sheetName val="IEPSGASINCREMENTO"/>
      <sheetName val="IEPSGAS ESTIMACIONES"/>
      <sheetName val="IEPS INCREMENTO"/>
      <sheetName val="IEPS ESTIMACIONES"/>
      <sheetName val="F.F.M30%"/>
      <sheetName val="F.F.M.70%"/>
      <sheetName val="F.F.M.ESTIIMACIONES 2014"/>
      <sheetName val="F.G.P.INCREMENTO"/>
      <sheetName val="F.G.P. ESTIMACIONES 2014"/>
      <sheetName val="Datos"/>
      <sheetName val="FGP 30%"/>
      <sheetName val="FG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71921.637981858948</v>
          </cell>
          <cell r="D7">
            <v>72714.40462331436</v>
          </cell>
          <cell r="E7">
            <v>34643.126341425232</v>
          </cell>
          <cell r="F7">
            <v>62668.386484099698</v>
          </cell>
          <cell r="G7">
            <v>43544.749119533568</v>
          </cell>
          <cell r="H7">
            <v>62200.112577045591</v>
          </cell>
          <cell r="I7">
            <v>41862.518405549519</v>
          </cell>
          <cell r="J7">
            <v>47840.912596100716</v>
          </cell>
          <cell r="K7">
            <v>51668.483252273618</v>
          </cell>
          <cell r="L7">
            <v>30189.389735093839</v>
          </cell>
          <cell r="M7">
            <v>44986.273443360027</v>
          </cell>
          <cell r="N7">
            <v>88831.860683975567</v>
          </cell>
        </row>
        <row r="8">
          <cell r="C8">
            <v>73311.131192327855</v>
          </cell>
          <cell r="D8">
            <v>74119.213723363922</v>
          </cell>
          <cell r="E8">
            <v>35312.415726254992</v>
          </cell>
          <cell r="F8">
            <v>63879.111100141701</v>
          </cell>
          <cell r="G8">
            <v>44386.013792460319</v>
          </cell>
          <cell r="H8">
            <v>63401.790354990626</v>
          </cell>
          <cell r="I8">
            <v>42671.283149093222</v>
          </cell>
          <cell r="J8">
            <v>48765.177186010173</v>
          </cell>
          <cell r="K8">
            <v>52666.69475980867</v>
          </cell>
          <cell r="L8">
            <v>30772.634962012806</v>
          </cell>
          <cell r="M8">
            <v>45855.387708104856</v>
          </cell>
          <cell r="N8">
            <v>90548.051676800824</v>
          </cell>
        </row>
        <row r="9">
          <cell r="C9">
            <v>85878.521441046003</v>
          </cell>
          <cell r="D9">
            <v>86825.129846059644</v>
          </cell>
          <cell r="E9">
            <v>41365.860842148402</v>
          </cell>
          <cell r="F9">
            <v>74829.613498346647</v>
          </cell>
          <cell r="G9">
            <v>51994.904118425045</v>
          </cell>
          <cell r="H9">
            <v>74270.467851839378</v>
          </cell>
          <cell r="I9">
            <v>49986.225082554018</v>
          </cell>
          <cell r="J9">
            <v>57124.767363887717</v>
          </cell>
          <cell r="K9">
            <v>61695.104162198317</v>
          </cell>
          <cell r="L9">
            <v>36047.846328406704</v>
          </cell>
          <cell r="M9">
            <v>53716.166050512089</v>
          </cell>
          <cell r="N9">
            <v>106070.28797538001</v>
          </cell>
        </row>
        <row r="10">
          <cell r="C10">
            <v>205489.76872183758</v>
          </cell>
          <cell r="D10">
            <v>207754.80937405623</v>
          </cell>
          <cell r="E10">
            <v>98980.059679626225</v>
          </cell>
          <cell r="F10">
            <v>179051.98777642648</v>
          </cell>
          <cell r="G10">
            <v>124413.19019848215</v>
          </cell>
          <cell r="H10">
            <v>177714.0664003409</v>
          </cell>
          <cell r="I10">
            <v>119606.8313605404</v>
          </cell>
          <cell r="J10">
            <v>136687.90562436922</v>
          </cell>
          <cell r="K10">
            <v>147623.78849597246</v>
          </cell>
          <cell r="L10">
            <v>86255.136681990058</v>
          </cell>
          <cell r="M10">
            <v>128531.81858657196</v>
          </cell>
          <cell r="N10">
            <v>253804.54365743059</v>
          </cell>
        </row>
        <row r="11">
          <cell r="C11">
            <v>111507.25115785327</v>
          </cell>
          <cell r="D11">
            <v>112736.35593742788</v>
          </cell>
          <cell r="E11">
            <v>53710.675927888537</v>
          </cell>
          <cell r="F11">
            <v>97161.017288045157</v>
          </cell>
          <cell r="G11">
            <v>67511.744906342006</v>
          </cell>
          <cell r="H11">
            <v>96435.005789562303</v>
          </cell>
          <cell r="I11">
            <v>64903.615725844356</v>
          </cell>
          <cell r="J11">
            <v>74172.513393255533</v>
          </cell>
          <cell r="K11">
            <v>80106.775938693594</v>
          </cell>
          <cell r="L11">
            <v>46805.606184087868</v>
          </cell>
          <cell r="M11">
            <v>69746.683088195103</v>
          </cell>
          <cell r="N11">
            <v>137724.84718167805</v>
          </cell>
        </row>
        <row r="12">
          <cell r="C12">
            <v>76122.317048695186</v>
          </cell>
          <cell r="D12">
            <v>76961.386281819723</v>
          </cell>
          <cell r="E12">
            <v>36666.504280466252</v>
          </cell>
          <cell r="F12">
            <v>66328.617071764587</v>
          </cell>
          <cell r="G12">
            <v>46088.038194000961</v>
          </cell>
          <cell r="H12">
            <v>65832.99300342238</v>
          </cell>
          <cell r="I12">
            <v>44307.554554414681</v>
          </cell>
          <cell r="J12">
            <v>50635.124820959565</v>
          </cell>
          <cell r="K12">
            <v>54686.249839677403</v>
          </cell>
          <cell r="L12">
            <v>31952.641255210176</v>
          </cell>
          <cell r="M12">
            <v>47613.756666088615</v>
          </cell>
          <cell r="N12">
            <v>94020.203832353407</v>
          </cell>
        </row>
        <row r="13">
          <cell r="C13">
            <v>82653.323596917879</v>
          </cell>
          <cell r="D13">
            <v>83564.381792917033</v>
          </cell>
          <cell r="E13">
            <v>39812.351501629695</v>
          </cell>
          <cell r="F13">
            <v>72019.361248050467</v>
          </cell>
          <cell r="G13">
            <v>50042.217348153725</v>
          </cell>
          <cell r="H13">
            <v>71481.214511438346</v>
          </cell>
          <cell r="I13">
            <v>48108.974954499266</v>
          </cell>
          <cell r="J13">
            <v>54979.426789122379</v>
          </cell>
          <cell r="K13">
            <v>59378.12299393522</v>
          </cell>
          <cell r="L13">
            <v>34694.056878926604</v>
          </cell>
          <cell r="M13">
            <v>51698.836687664727</v>
          </cell>
          <cell r="N13">
            <v>102086.78129217416</v>
          </cell>
        </row>
        <row r="14">
          <cell r="C14">
            <v>67392.542637064718</v>
          </cell>
          <cell r="D14">
            <v>68135.386670997919</v>
          </cell>
          <cell r="E14">
            <v>32461.557252555991</v>
          </cell>
          <cell r="F14">
            <v>58721.992805433852</v>
          </cell>
          <cell r="G14">
            <v>40802.621352959941</v>
          </cell>
          <cell r="H14">
            <v>58283.207342080968</v>
          </cell>
          <cell r="I14">
            <v>39226.325146439369</v>
          </cell>
          <cell r="J14">
            <v>44828.244077839765</v>
          </cell>
          <cell r="K14">
            <v>48414.782508841214</v>
          </cell>
          <cell r="L14">
            <v>28288.284193728385</v>
          </cell>
          <cell r="M14">
            <v>42153.369085934886</v>
          </cell>
          <cell r="N14">
            <v>83237.883989580994</v>
          </cell>
        </row>
        <row r="15">
          <cell r="C15">
            <v>69443.740981893265</v>
          </cell>
          <cell r="D15">
            <v>70209.19464581291</v>
          </cell>
          <cell r="E15">
            <v>33449.575954648695</v>
          </cell>
          <cell r="F15">
            <v>60509.289288610227</v>
          </cell>
          <cell r="G15">
            <v>42044.513498721288</v>
          </cell>
          <cell r="H15">
            <v>60057.148697509576</v>
          </cell>
          <cell r="I15">
            <v>40420.240230596333</v>
          </cell>
          <cell r="J15">
            <v>46192.66240152924</v>
          </cell>
          <cell r="K15">
            <v>49888.362787332611</v>
          </cell>
          <cell r="L15">
            <v>29149.282747065394</v>
          </cell>
          <cell r="M15">
            <v>43436.373369712455</v>
          </cell>
          <cell r="N15">
            <v>85771.360294013473</v>
          </cell>
        </row>
        <row r="16">
          <cell r="C16">
            <v>77090.478176598554</v>
          </cell>
          <cell r="D16">
            <v>77940.219105575583</v>
          </cell>
          <cell r="E16">
            <v>37132.846944704143</v>
          </cell>
          <cell r="F16">
            <v>67172.217098749985</v>
          </cell>
          <cell r="G16">
            <v>46674.208567824622</v>
          </cell>
          <cell r="H16">
            <v>66670.289439350308</v>
          </cell>
          <cell r="I16">
            <v>44871.079860201171</v>
          </cell>
          <cell r="J16">
            <v>51279.127282508758</v>
          </cell>
          <cell r="K16">
            <v>55381.776504895941</v>
          </cell>
          <cell r="L16">
            <v>32359.030687330938</v>
          </cell>
          <cell r="M16">
            <v>48219.331879045792</v>
          </cell>
          <cell r="N16">
            <v>95215.9991012994</v>
          </cell>
        </row>
        <row r="17">
          <cell r="C17">
            <v>69624.767375500349</v>
          </cell>
          <cell r="D17">
            <v>70392.216428987042</v>
          </cell>
          <cell r="E17">
            <v>33536.772525817512</v>
          </cell>
          <cell r="F17">
            <v>60667.025295696898</v>
          </cell>
          <cell r="G17">
            <v>42154.115408728161</v>
          </cell>
          <cell r="H17">
            <v>60213.706061575984</v>
          </cell>
          <cell r="I17">
            <v>40525.607974531449</v>
          </cell>
          <cell r="J17">
            <v>46313.077732953265</v>
          </cell>
          <cell r="K17">
            <v>50018.412094450257</v>
          </cell>
          <cell r="L17">
            <v>29225.269286058308</v>
          </cell>
          <cell r="M17">
            <v>43549.603589042657</v>
          </cell>
          <cell r="N17">
            <v>85994.949631357027</v>
          </cell>
        </row>
        <row r="18">
          <cell r="C18">
            <v>66507.731791109924</v>
          </cell>
          <cell r="D18">
            <v>67240.822869710712</v>
          </cell>
          <cell r="E18">
            <v>32035.362649863451</v>
          </cell>
          <cell r="F18">
            <v>57951.019429193388</v>
          </cell>
          <cell r="G18">
            <v>40266.915167916413</v>
          </cell>
          <cell r="H18">
            <v>57517.994872341886</v>
          </cell>
          <cell r="I18">
            <v>38711.314485342431</v>
          </cell>
          <cell r="J18">
            <v>44239.684646586524</v>
          </cell>
          <cell r="K18">
            <v>47779.134661288343</v>
          </cell>
          <cell r="L18">
            <v>27916.881369489249</v>
          </cell>
          <cell r="M18">
            <v>41599.928650223272</v>
          </cell>
          <cell r="N18">
            <v>82145.036329196053</v>
          </cell>
        </row>
        <row r="19">
          <cell r="C19">
            <v>77421.027611018057</v>
          </cell>
          <cell r="D19">
            <v>78274.412068873367</v>
          </cell>
          <cell r="E19">
            <v>37292.065590719547</v>
          </cell>
          <cell r="F19">
            <v>67460.23889983198</v>
          </cell>
          <cell r="G19">
            <v>46874.338773382959</v>
          </cell>
          <cell r="H19">
            <v>66956.159069271118</v>
          </cell>
          <cell r="I19">
            <v>45063.478589854974</v>
          </cell>
          <cell r="J19">
            <v>51499.002511222854</v>
          </cell>
          <cell r="K19">
            <v>55619.243119889616</v>
          </cell>
          <cell r="L19">
            <v>32497.780109374446</v>
          </cell>
          <cell r="M19">
            <v>48426.087282017768</v>
          </cell>
          <cell r="N19">
            <v>95624.267351737843</v>
          </cell>
        </row>
        <row r="20">
          <cell r="C20">
            <v>120772.649929829</v>
          </cell>
          <cell r="D20">
            <v>122103.88390546081</v>
          </cell>
          <cell r="E20">
            <v>58173.621840524793</v>
          </cell>
          <cell r="F20">
            <v>105234.35387303698</v>
          </cell>
          <cell r="G20">
            <v>73121.453977760611</v>
          </cell>
          <cell r="H20">
            <v>104448.01637802352</v>
          </cell>
          <cell r="I20">
            <v>70296.609232533199</v>
          </cell>
          <cell r="J20">
            <v>80335.681325136014</v>
          </cell>
          <cell r="K20">
            <v>86763.0356500786</v>
          </cell>
          <cell r="L20">
            <v>50694.793672403823</v>
          </cell>
          <cell r="M20">
            <v>75542.098409840124</v>
          </cell>
          <cell r="N20">
            <v>149168.72743787066</v>
          </cell>
        </row>
        <row r="21">
          <cell r="C21">
            <v>66633.610476617425</v>
          </cell>
          <cell r="D21">
            <v>67368.089071208393</v>
          </cell>
          <cell r="E21">
            <v>32095.995740656355</v>
          </cell>
          <cell r="F21">
            <v>58060.702889343229</v>
          </cell>
          <cell r="G21">
            <v>40343.12805646746</v>
          </cell>
          <cell r="H21">
            <v>57626.858750158332</v>
          </cell>
          <cell r="I21">
            <v>38784.583100140284</v>
          </cell>
          <cell r="J21">
            <v>44323.416766155249</v>
          </cell>
          <cell r="K21">
            <v>47869.565871372884</v>
          </cell>
          <cell r="L21">
            <v>27969.719441629451</v>
          </cell>
          <cell r="M21">
            <v>41678.664523401785</v>
          </cell>
          <cell r="N21">
            <v>82300.511623806335</v>
          </cell>
        </row>
        <row r="22">
          <cell r="C22">
            <v>138677.17519096044</v>
          </cell>
          <cell r="D22">
            <v>140205.76438202406</v>
          </cell>
          <cell r="E22">
            <v>66797.851600990878</v>
          </cell>
          <cell r="F22">
            <v>120835.32932860054</v>
          </cell>
          <cell r="G22">
            <v>83961.697365946122</v>
          </cell>
          <cell r="H22">
            <v>119932.41743076142</v>
          </cell>
          <cell r="I22">
            <v>80718.069857161856</v>
          </cell>
          <cell r="J22">
            <v>92245.43271745721</v>
          </cell>
          <cell r="K22">
            <v>99625.641251858979</v>
          </cell>
          <cell r="L22">
            <v>58210.288401076003</v>
          </cell>
          <cell r="M22">
            <v>86741.201932398515</v>
          </cell>
          <cell r="N22">
            <v>171282.96646577941</v>
          </cell>
        </row>
        <row r="23">
          <cell r="C23">
            <v>73776.990109242557</v>
          </cell>
          <cell r="D23">
            <v>74590.207637468862</v>
          </cell>
          <cell r="E23">
            <v>35536.810077785558</v>
          </cell>
          <cell r="F23">
            <v>64285.033816468582</v>
          </cell>
          <cell r="G23">
            <v>44668.066735515713</v>
          </cell>
          <cell r="H23">
            <v>63804.679914936743</v>
          </cell>
          <cell r="I23">
            <v>42942.439758299617</v>
          </cell>
          <cell r="J23">
            <v>49075.057721988123</v>
          </cell>
          <cell r="K23">
            <v>53001.367666627069</v>
          </cell>
          <cell r="L23">
            <v>30968.181070234841</v>
          </cell>
          <cell r="M23">
            <v>46146.777854525586</v>
          </cell>
          <cell r="N23">
            <v>91123.443388766464</v>
          </cell>
        </row>
        <row r="24">
          <cell r="C24">
            <v>552458.64732824359</v>
          </cell>
          <cell r="D24">
            <v>558548.20255355549</v>
          </cell>
          <cell r="E24">
            <v>266107.60342572705</v>
          </cell>
          <cell r="F24">
            <v>481380.74992093554</v>
          </cell>
          <cell r="G24">
            <v>334484.50107453263</v>
          </cell>
          <cell r="H24">
            <v>477783.75218104152</v>
          </cell>
          <cell r="I24">
            <v>321562.61927623325</v>
          </cell>
          <cell r="J24">
            <v>367485.03790273936</v>
          </cell>
          <cell r="K24">
            <v>396886.12729110842</v>
          </cell>
          <cell r="L24">
            <v>231896.68484638733</v>
          </cell>
          <cell r="M24">
            <v>345557.42155268969</v>
          </cell>
          <cell r="N24">
            <v>682352.77963912231</v>
          </cell>
        </row>
        <row r="25">
          <cell r="C25">
            <v>67859.928444920282</v>
          </cell>
          <cell r="D25">
            <v>68607.92430641962</v>
          </cell>
          <cell r="E25">
            <v>32686.687075041587</v>
          </cell>
          <cell r="F25">
            <v>59129.245966871356</v>
          </cell>
          <cell r="G25">
            <v>41085.598747749456</v>
          </cell>
          <cell r="H25">
            <v>58687.417405718035</v>
          </cell>
          <cell r="I25">
            <v>39498.370493748916</v>
          </cell>
          <cell r="J25">
            <v>45139.140272777884</v>
          </cell>
          <cell r="K25">
            <v>48750.552333655636</v>
          </cell>
          <cell r="L25">
            <v>28484.471220413769</v>
          </cell>
          <cell r="M25">
            <v>42445.714287542214</v>
          </cell>
          <cell r="N25">
            <v>83815.161595237936</v>
          </cell>
        </row>
        <row r="26">
          <cell r="C26">
            <v>90884.613024911858</v>
          </cell>
          <cell r="D26">
            <v>91886.401797379876</v>
          </cell>
          <cell r="E26">
            <v>43777.18889422022</v>
          </cell>
          <cell r="F26">
            <v>79191.634316499258</v>
          </cell>
          <cell r="G26">
            <v>55025.82788776177</v>
          </cell>
          <cell r="H26">
            <v>78599.894556025363</v>
          </cell>
          <cell r="I26">
            <v>52900.057511152358</v>
          </cell>
          <cell r="J26">
            <v>60454.724754071336</v>
          </cell>
          <cell r="K26">
            <v>65291.478861361349</v>
          </cell>
          <cell r="L26">
            <v>38149.172912668037</v>
          </cell>
          <cell r="M26">
            <v>56847.426839248539</v>
          </cell>
          <cell r="N26">
            <v>112253.41231219452</v>
          </cell>
        </row>
      </sheetData>
      <sheetData sheetId="22">
        <row r="7">
          <cell r="C7">
            <v>221149.74295927721</v>
          </cell>
          <cell r="D7">
            <v>222516.2298324453</v>
          </cell>
          <cell r="E7">
            <v>252825.77036195033</v>
          </cell>
          <cell r="F7">
            <v>242573.30921120683</v>
          </cell>
          <cell r="G7">
            <v>258898.84233744943</v>
          </cell>
          <cell r="H7">
            <v>248735.24449241886</v>
          </cell>
          <cell r="I7">
            <v>257861.19628767337</v>
          </cell>
          <cell r="J7">
            <v>255959.02638851784</v>
          </cell>
          <cell r="K7">
            <v>244192.50881827332</v>
          </cell>
          <cell r="L7">
            <v>257063.79269192531</v>
          </cell>
          <cell r="M7">
            <v>247583.00890387889</v>
          </cell>
          <cell r="N7">
            <v>182239.87521498336</v>
          </cell>
        </row>
        <row r="8">
          <cell r="C8">
            <v>94612.619691239321</v>
          </cell>
          <cell r="D8">
            <v>95197.232185534333</v>
          </cell>
          <cell r="E8">
            <v>108164.30595537506</v>
          </cell>
          <cell r="F8">
            <v>103778.08241844281</v>
          </cell>
          <cell r="G8">
            <v>110762.49685302953</v>
          </cell>
          <cell r="H8">
            <v>106414.29095082486</v>
          </cell>
          <cell r="I8">
            <v>110318.56954039568</v>
          </cell>
          <cell r="J8">
            <v>109504.78031844726</v>
          </cell>
          <cell r="K8">
            <v>104470.81085926128</v>
          </cell>
          <cell r="L8">
            <v>109977.42312016751</v>
          </cell>
          <cell r="M8">
            <v>105921.33976727625</v>
          </cell>
          <cell r="N8">
            <v>77966.140840005988</v>
          </cell>
        </row>
        <row r="9">
          <cell r="C9">
            <v>76618.808584316517</v>
          </cell>
          <cell r="D9">
            <v>77092.237107303881</v>
          </cell>
          <cell r="E9">
            <v>87593.180282880421</v>
          </cell>
          <cell r="F9">
            <v>84041.146498370872</v>
          </cell>
          <cell r="G9">
            <v>89697.23671533681</v>
          </cell>
          <cell r="H9">
            <v>86175.990217845901</v>
          </cell>
          <cell r="I9">
            <v>89337.73729651676</v>
          </cell>
          <cell r="J9">
            <v>88678.717803895939</v>
          </cell>
          <cell r="K9">
            <v>84602.129039401771</v>
          </cell>
          <cell r="L9">
            <v>89061.47148381664</v>
          </cell>
          <cell r="M9">
            <v>85776.790486383237</v>
          </cell>
          <cell r="N9">
            <v>63138.224483931241</v>
          </cell>
        </row>
        <row r="10">
          <cell r="C10">
            <v>443460.37695771072</v>
          </cell>
          <cell r="D10">
            <v>446200.52386348607</v>
          </cell>
          <cell r="E10">
            <v>506978.71012212604</v>
          </cell>
          <cell r="F10">
            <v>486419.96912693436</v>
          </cell>
          <cell r="G10">
            <v>519156.73371604027</v>
          </cell>
          <cell r="H10">
            <v>498776.18580632017</v>
          </cell>
          <cell r="I10">
            <v>517075.99465559697</v>
          </cell>
          <cell r="J10">
            <v>513261.66971345828</v>
          </cell>
          <cell r="K10">
            <v>489666.86807653756</v>
          </cell>
          <cell r="L10">
            <v>515477.00161845388</v>
          </cell>
          <cell r="M10">
            <v>496465.66614846047</v>
          </cell>
          <cell r="N10">
            <v>365436.39019487472</v>
          </cell>
        </row>
        <row r="11">
          <cell r="C11">
            <v>359876.22213845636</v>
          </cell>
          <cell r="D11">
            <v>362099.90156460914</v>
          </cell>
          <cell r="E11">
            <v>411422.51344989287</v>
          </cell>
          <cell r="F11">
            <v>394738.71840143891</v>
          </cell>
          <cell r="G11">
            <v>421305.20275385468</v>
          </cell>
          <cell r="H11">
            <v>404766.0146595792</v>
          </cell>
          <cell r="I11">
            <v>419616.64487757871</v>
          </cell>
          <cell r="J11">
            <v>416521.25029102637</v>
          </cell>
          <cell r="K11">
            <v>397373.63639719016</v>
          </cell>
          <cell r="L11">
            <v>418319.03272701753</v>
          </cell>
          <cell r="M11">
            <v>402890.98561786063</v>
          </cell>
          <cell r="N11">
            <v>296558.32712149521</v>
          </cell>
        </row>
        <row r="12">
          <cell r="C12">
            <v>419662.11065500637</v>
          </cell>
          <cell r="D12">
            <v>422255.20779227809</v>
          </cell>
          <cell r="E12">
            <v>479771.73745850415</v>
          </cell>
          <cell r="F12">
            <v>460316.27968425862</v>
          </cell>
          <cell r="G12">
            <v>491296.22837264027</v>
          </cell>
          <cell r="H12">
            <v>472009.40096592868</v>
          </cell>
          <cell r="I12">
            <v>489327.15201046679</v>
          </cell>
          <cell r="J12">
            <v>485717.52251679369</v>
          </cell>
          <cell r="K12">
            <v>463388.93405672337</v>
          </cell>
          <cell r="L12">
            <v>487813.9688090866</v>
          </cell>
          <cell r="M12">
            <v>469822.87516405364</v>
          </cell>
          <cell r="N12">
            <v>345825.27501425974</v>
          </cell>
        </row>
        <row r="13">
          <cell r="C13">
            <v>116089.10391563109</v>
          </cell>
          <cell r="D13">
            <v>116806.41985955134</v>
          </cell>
          <cell r="E13">
            <v>132716.93982254609</v>
          </cell>
          <cell r="F13">
            <v>127335.07045207708</v>
          </cell>
          <cell r="G13">
            <v>135904.90411414669</v>
          </cell>
          <cell r="H13">
            <v>130569.68214825136</v>
          </cell>
          <cell r="I13">
            <v>135360.20802502538</v>
          </cell>
          <cell r="J13">
            <v>134361.69364226659</v>
          </cell>
          <cell r="K13">
            <v>128185.0439990936</v>
          </cell>
          <cell r="L13">
            <v>134941.62346032824</v>
          </cell>
          <cell r="M13">
            <v>129964.83407027763</v>
          </cell>
          <cell r="N13">
            <v>95663.976490804911</v>
          </cell>
        </row>
        <row r="14">
          <cell r="C14">
            <v>154978.95372736751</v>
          </cell>
          <cell r="D14">
            <v>155936.57051250106</v>
          </cell>
          <cell r="E14">
            <v>177177.11466309906</v>
          </cell>
          <cell r="F14">
            <v>169992.31905352289</v>
          </cell>
          <cell r="G14">
            <v>181433.04699238582</v>
          </cell>
          <cell r="H14">
            <v>174310.52566791559</v>
          </cell>
          <cell r="I14">
            <v>180705.8777134089</v>
          </cell>
          <cell r="J14">
            <v>179372.86101242588</v>
          </cell>
          <cell r="K14">
            <v>171127.03373878996</v>
          </cell>
          <cell r="L14">
            <v>180147.06731953821</v>
          </cell>
          <cell r="M14">
            <v>173503.05348382064</v>
          </cell>
          <cell r="N14">
            <v>127711.40861522456</v>
          </cell>
        </row>
        <row r="15">
          <cell r="C15">
            <v>133502.46950297573</v>
          </cell>
          <cell r="D15">
            <v>134327.38283848405</v>
          </cell>
          <cell r="E15">
            <v>152624.48079592802</v>
          </cell>
          <cell r="F15">
            <v>146435.33101988863</v>
          </cell>
          <cell r="G15">
            <v>156290.63973126869</v>
          </cell>
          <cell r="H15">
            <v>150155.13447048908</v>
          </cell>
          <cell r="I15">
            <v>155664.23922877919</v>
          </cell>
          <cell r="J15">
            <v>154515.94768860657</v>
          </cell>
          <cell r="K15">
            <v>147412.80059895763</v>
          </cell>
          <cell r="L15">
            <v>155182.86697937749</v>
          </cell>
          <cell r="M15">
            <v>149459.55918081925</v>
          </cell>
          <cell r="N15">
            <v>110013.57296442564</v>
          </cell>
        </row>
        <row r="16">
          <cell r="C16">
            <v>134082.91502255391</v>
          </cell>
          <cell r="D16">
            <v>134911.41493778178</v>
          </cell>
          <cell r="E16">
            <v>153288.06549504073</v>
          </cell>
          <cell r="F16">
            <v>147072.00637214902</v>
          </cell>
          <cell r="G16">
            <v>156970.16425183942</v>
          </cell>
          <cell r="H16">
            <v>150807.98288123033</v>
          </cell>
          <cell r="I16">
            <v>156341.04026890433</v>
          </cell>
          <cell r="J16">
            <v>155187.75615681789</v>
          </cell>
          <cell r="K16">
            <v>148053.7258189531</v>
          </cell>
          <cell r="L16">
            <v>155857.57509667912</v>
          </cell>
          <cell r="M16">
            <v>150109.38335117066</v>
          </cell>
          <cell r="N16">
            <v>110491.89284687967</v>
          </cell>
        </row>
        <row r="17">
          <cell r="C17">
            <v>293124.98738696851</v>
          </cell>
          <cell r="D17">
            <v>294936.21014536713</v>
          </cell>
          <cell r="E17">
            <v>335110.2730519289</v>
          </cell>
          <cell r="F17">
            <v>321521.05289149465</v>
          </cell>
          <cell r="G17">
            <v>343159.88288822037</v>
          </cell>
          <cell r="H17">
            <v>329688.44742433471</v>
          </cell>
          <cell r="I17">
            <v>341784.52526318911</v>
          </cell>
          <cell r="J17">
            <v>339263.27644672315</v>
          </cell>
          <cell r="K17">
            <v>323667.23609771137</v>
          </cell>
          <cell r="L17">
            <v>340727.59923732886</v>
          </cell>
          <cell r="M17">
            <v>328161.20602745103</v>
          </cell>
          <cell r="N17">
            <v>241551.54063928241</v>
          </cell>
        </row>
        <row r="18">
          <cell r="C18">
            <v>149754.94405116409</v>
          </cell>
          <cell r="D18">
            <v>150680.28161882123</v>
          </cell>
          <cell r="E18">
            <v>171204.85237108447</v>
          </cell>
          <cell r="F18">
            <v>164262.24088317942</v>
          </cell>
          <cell r="G18">
            <v>175317.32630724923</v>
          </cell>
          <cell r="H18">
            <v>168434.88997124427</v>
          </cell>
          <cell r="I18">
            <v>174614.66835228275</v>
          </cell>
          <cell r="J18">
            <v>173326.58479852389</v>
          </cell>
          <cell r="K18">
            <v>165358.70675883075</v>
          </cell>
          <cell r="L18">
            <v>174074.69426382345</v>
          </cell>
          <cell r="M18">
            <v>167654.63595065812</v>
          </cell>
          <cell r="N18">
            <v>123406.52967313833</v>
          </cell>
        </row>
        <row r="19">
          <cell r="C19">
            <v>196771.03113699469</v>
          </cell>
          <cell r="D19">
            <v>197986.88166193952</v>
          </cell>
          <cell r="E19">
            <v>224955.21299921564</v>
          </cell>
          <cell r="F19">
            <v>215832.94441627062</v>
          </cell>
          <cell r="G19">
            <v>230358.81247347861</v>
          </cell>
          <cell r="H19">
            <v>221315.61124128607</v>
          </cell>
          <cell r="I19">
            <v>229435.55260241803</v>
          </cell>
          <cell r="J19">
            <v>227743.07072364184</v>
          </cell>
          <cell r="K19">
            <v>217273.64957846366</v>
          </cell>
          <cell r="L19">
            <v>228726.05176525636</v>
          </cell>
          <cell r="M19">
            <v>220290.39374912056</v>
          </cell>
          <cell r="N19">
            <v>162150.44015191431</v>
          </cell>
        </row>
        <row r="20">
          <cell r="C20">
            <v>47596.532605408749</v>
          </cell>
          <cell r="D20">
            <v>47890.632142416056</v>
          </cell>
          <cell r="E20">
            <v>54413.945327243906</v>
          </cell>
          <cell r="F20">
            <v>52207.378885351602</v>
          </cell>
          <cell r="G20">
            <v>55721.010686800146</v>
          </cell>
          <cell r="H20">
            <v>53533.569680783061</v>
          </cell>
          <cell r="I20">
            <v>55497.685290260415</v>
          </cell>
          <cell r="J20">
            <v>55088.294393329299</v>
          </cell>
          <cell r="K20">
            <v>52555.868039628382</v>
          </cell>
          <cell r="L20">
            <v>55326.065618734581</v>
          </cell>
          <cell r="M20">
            <v>53285.581968813829</v>
          </cell>
          <cell r="N20">
            <v>39222.230361230017</v>
          </cell>
        </row>
        <row r="21">
          <cell r="C21">
            <v>131761.13294424128</v>
          </cell>
          <cell r="D21">
            <v>132575.28654059078</v>
          </cell>
          <cell r="E21">
            <v>150633.72669858983</v>
          </cell>
          <cell r="F21">
            <v>144525.30496310748</v>
          </cell>
          <cell r="G21">
            <v>154252.06616955649</v>
          </cell>
          <cell r="H21">
            <v>148196.5892382653</v>
          </cell>
          <cell r="I21">
            <v>153633.83610840383</v>
          </cell>
          <cell r="J21">
            <v>152500.52228397259</v>
          </cell>
          <cell r="K21">
            <v>145490.02493897124</v>
          </cell>
          <cell r="L21">
            <v>153158.74262747256</v>
          </cell>
          <cell r="M21">
            <v>147510.08666976512</v>
          </cell>
          <cell r="N21">
            <v>108578.61331706357</v>
          </cell>
        </row>
        <row r="22">
          <cell r="C22">
            <v>498602.70131763554</v>
          </cell>
          <cell r="D22">
            <v>501683.57329677301</v>
          </cell>
          <cell r="E22">
            <v>570019.25653783546</v>
          </cell>
          <cell r="F22">
            <v>546904.12759167107</v>
          </cell>
          <cell r="G22">
            <v>583711.56317026005</v>
          </cell>
          <cell r="H22">
            <v>560796.78482673969</v>
          </cell>
          <cell r="I22">
            <v>581372.09346748411</v>
          </cell>
          <cell r="J22">
            <v>577083.47419353493</v>
          </cell>
          <cell r="K22">
            <v>550554.763976107</v>
          </cell>
          <cell r="L22">
            <v>579574.27276210987</v>
          </cell>
          <cell r="M22">
            <v>558198.9623318424</v>
          </cell>
          <cell r="N22">
            <v>410876.77902800712</v>
          </cell>
        </row>
        <row r="23">
          <cell r="C23">
            <v>264102.71140806068</v>
          </cell>
          <cell r="D23">
            <v>265734.6051804793</v>
          </cell>
          <cell r="E23">
            <v>301931.03809629235</v>
          </cell>
          <cell r="F23">
            <v>289687.28527847532</v>
          </cell>
          <cell r="G23">
            <v>309183.65685968369</v>
          </cell>
          <cell r="H23">
            <v>297046.02688727184</v>
          </cell>
          <cell r="I23">
            <v>307944.47325693275</v>
          </cell>
          <cell r="J23">
            <v>305672.85303615645</v>
          </cell>
          <cell r="K23">
            <v>291620.97509793792</v>
          </cell>
          <cell r="L23">
            <v>306992.19337224675</v>
          </cell>
          <cell r="M23">
            <v>295669.99750988156</v>
          </cell>
          <cell r="N23">
            <v>217635.54651658115</v>
          </cell>
        </row>
        <row r="24">
          <cell r="C24">
            <v>1684452.897815807</v>
          </cell>
          <cell r="D24">
            <v>1694861.1521620899</v>
          </cell>
          <cell r="E24">
            <v>1925722.796825144</v>
          </cell>
          <cell r="F24">
            <v>1847631.8722596385</v>
          </cell>
          <cell r="G24">
            <v>1971980.1586962685</v>
          </cell>
          <cell r="H24">
            <v>1894566.0879711274</v>
          </cell>
          <cell r="I24">
            <v>1964076.6184431184</v>
          </cell>
          <cell r="J24">
            <v>1949588.1747492882</v>
          </cell>
          <cell r="K24">
            <v>1859964.9884268483</v>
          </cell>
          <cell r="L24">
            <v>1958002.9564093628</v>
          </cell>
          <cell r="M24">
            <v>1885789.7423597283</v>
          </cell>
          <cell r="N24">
            <v>1388084.2988815792</v>
          </cell>
        </row>
        <row r="25">
          <cell r="C25">
            <v>158461.62684483643</v>
          </cell>
          <cell r="D25">
            <v>159440.76310828759</v>
          </cell>
          <cell r="E25">
            <v>181158.62285777542</v>
          </cell>
          <cell r="F25">
            <v>173812.37116708522</v>
          </cell>
          <cell r="G25">
            <v>185510.19411581021</v>
          </cell>
          <cell r="H25">
            <v>178227.61613236312</v>
          </cell>
          <cell r="I25">
            <v>184766.68395415967</v>
          </cell>
          <cell r="J25">
            <v>183403.7118216939</v>
          </cell>
          <cell r="K25">
            <v>174972.58505876278</v>
          </cell>
          <cell r="L25">
            <v>184195.31602334807</v>
          </cell>
          <cell r="M25">
            <v>177401.99850592896</v>
          </cell>
          <cell r="N25">
            <v>130581.3279099487</v>
          </cell>
        </row>
        <row r="26">
          <cell r="C26">
            <v>225793.30711590243</v>
          </cell>
          <cell r="D26">
            <v>227188.48662682733</v>
          </cell>
          <cell r="E26">
            <v>258134.44795485213</v>
          </cell>
          <cell r="F26">
            <v>247666.71202928989</v>
          </cell>
          <cell r="G26">
            <v>264335.03850201529</v>
          </cell>
          <cell r="H26">
            <v>253958.0317783489</v>
          </cell>
          <cell r="I26">
            <v>263275.60460867436</v>
          </cell>
          <cell r="J26">
            <v>261333.49413420848</v>
          </cell>
          <cell r="K26">
            <v>249319.91057823703</v>
          </cell>
          <cell r="L26">
            <v>262461.45763033844</v>
          </cell>
          <cell r="M26">
            <v>252781.60226668997</v>
          </cell>
          <cell r="N26">
            <v>186066.43427461552</v>
          </cell>
        </row>
      </sheetData>
      <sheetData sheetId="23">
        <row r="7">
          <cell r="C7">
            <v>11802.679292037985</v>
          </cell>
          <cell r="D7">
            <v>1333.2292221198138</v>
          </cell>
          <cell r="E7">
            <v>1333.2292221198138</v>
          </cell>
          <cell r="F7">
            <v>18204.517099508423</v>
          </cell>
          <cell r="G7">
            <v>1333.2292221198138</v>
          </cell>
          <cell r="H7">
            <v>1333.2292221198138</v>
          </cell>
          <cell r="I7">
            <v>15264.771092395671</v>
          </cell>
          <cell r="J7">
            <v>1333.2292221198127</v>
          </cell>
          <cell r="K7">
            <v>1333.2292221198127</v>
          </cell>
          <cell r="L7">
            <v>13985.991384813668</v>
          </cell>
          <cell r="M7">
            <v>1333.2292221198115</v>
          </cell>
          <cell r="N7">
            <v>1333.2292221198115</v>
          </cell>
        </row>
        <row r="8">
          <cell r="C8">
            <v>2925.5296800196288</v>
          </cell>
          <cell r="D8">
            <v>330.46747802528074</v>
          </cell>
          <cell r="E8">
            <v>330.46747802528074</v>
          </cell>
          <cell r="F8">
            <v>4512.3529808154808</v>
          </cell>
          <cell r="G8">
            <v>330.46747802528074</v>
          </cell>
          <cell r="H8">
            <v>330.46747802528074</v>
          </cell>
          <cell r="I8">
            <v>3783.6782466532745</v>
          </cell>
          <cell r="J8">
            <v>330.46747802528034</v>
          </cell>
          <cell r="K8">
            <v>330.46747802528034</v>
          </cell>
          <cell r="L8">
            <v>3466.7071677846229</v>
          </cell>
          <cell r="M8">
            <v>330.46747802528006</v>
          </cell>
          <cell r="N8">
            <v>330.46747802528006</v>
          </cell>
        </row>
        <row r="9">
          <cell r="C9">
            <v>1106.3412555767009</v>
          </cell>
          <cell r="D9">
            <v>124.97217412038073</v>
          </cell>
          <cell r="E9">
            <v>124.97217412038073</v>
          </cell>
          <cell r="F9">
            <v>1706.4268041769351</v>
          </cell>
          <cell r="G9">
            <v>124.97217412038073</v>
          </cell>
          <cell r="H9">
            <v>124.97217412038073</v>
          </cell>
          <cell r="I9">
            <v>1430.8654500037569</v>
          </cell>
          <cell r="J9">
            <v>124.97217412038063</v>
          </cell>
          <cell r="K9">
            <v>124.97217412038063</v>
          </cell>
          <cell r="L9">
            <v>1310.9971800723122</v>
          </cell>
          <cell r="M9">
            <v>124.9721741203805</v>
          </cell>
          <cell r="N9">
            <v>124.9721741203805</v>
          </cell>
        </row>
        <row r="10">
          <cell r="C10">
            <v>1244975.8797058584</v>
          </cell>
          <cell r="D10">
            <v>140632.32445686206</v>
          </cell>
          <cell r="E10">
            <v>140632.32445686206</v>
          </cell>
          <cell r="F10">
            <v>1920257.6067512033</v>
          </cell>
          <cell r="G10">
            <v>140632.32445686206</v>
          </cell>
          <cell r="H10">
            <v>140632.32445686206</v>
          </cell>
          <cell r="I10">
            <v>1610165.9080141254</v>
          </cell>
          <cell r="J10">
            <v>140632.32445686191</v>
          </cell>
          <cell r="K10">
            <v>140632.32445686191</v>
          </cell>
          <cell r="L10">
            <v>1475277.0533732229</v>
          </cell>
          <cell r="M10">
            <v>140632.3244568618</v>
          </cell>
          <cell r="N10">
            <v>140632.3244568618</v>
          </cell>
        </row>
        <row r="11">
          <cell r="C11">
            <v>55699.534132124987</v>
          </cell>
          <cell r="D11">
            <v>6291.8126237238803</v>
          </cell>
          <cell r="E11">
            <v>6291.8126237238803</v>
          </cell>
          <cell r="F11">
            <v>85911.266116241008</v>
          </cell>
          <cell r="G11">
            <v>6291.8126237238803</v>
          </cell>
          <cell r="H11">
            <v>6291.8126237238803</v>
          </cell>
          <cell r="I11">
            <v>72037.934560632741</v>
          </cell>
          <cell r="J11">
            <v>6291.8126237238748</v>
          </cell>
          <cell r="K11">
            <v>6291.8126237238748</v>
          </cell>
          <cell r="L11">
            <v>66003.081608389752</v>
          </cell>
          <cell r="M11">
            <v>6291.8126237238675</v>
          </cell>
          <cell r="N11">
            <v>6291.8126237238675</v>
          </cell>
        </row>
        <row r="12">
          <cell r="C12">
            <v>138.9651749087565</v>
          </cell>
          <cell r="D12">
            <v>15.697489312475769</v>
          </cell>
          <cell r="E12">
            <v>15.697489312475769</v>
          </cell>
          <cell r="F12">
            <v>214.34064590480065</v>
          </cell>
          <cell r="G12">
            <v>15.697489312475769</v>
          </cell>
          <cell r="H12">
            <v>15.697489312475769</v>
          </cell>
          <cell r="I12">
            <v>179.7279695829651</v>
          </cell>
          <cell r="J12">
            <v>15.697489312475755</v>
          </cell>
          <cell r="K12">
            <v>15.697489312475755</v>
          </cell>
          <cell r="L12">
            <v>164.67157083342175</v>
          </cell>
          <cell r="M12">
            <v>15.697489312475739</v>
          </cell>
          <cell r="N12">
            <v>15.697489312475739</v>
          </cell>
        </row>
        <row r="13">
          <cell r="C13">
            <v>32.849495233388772</v>
          </cell>
          <cell r="D13">
            <v>3.7106749995811463</v>
          </cell>
          <cell r="E13">
            <v>3.7106749995811463</v>
          </cell>
          <cell r="F13">
            <v>50.667241131414954</v>
          </cell>
          <cell r="G13">
            <v>3.7106749995811463</v>
          </cell>
          <cell r="H13">
            <v>3.7106749995811463</v>
          </cell>
          <cell r="I13">
            <v>42.485270744981669</v>
          </cell>
          <cell r="J13">
            <v>3.7106749995811428</v>
          </cell>
          <cell r="K13">
            <v>3.7106749995811428</v>
          </cell>
          <cell r="L13">
            <v>38.926140917815466</v>
          </cell>
          <cell r="M13">
            <v>3.7106749995811397</v>
          </cell>
          <cell r="N13">
            <v>3.7106749995811397</v>
          </cell>
        </row>
        <row r="14">
          <cell r="C14">
            <v>9699.6117410109109</v>
          </cell>
          <cell r="D14">
            <v>1095.6669664875083</v>
          </cell>
          <cell r="E14">
            <v>1095.6669664875083</v>
          </cell>
          <cell r="F14">
            <v>14960.734205236215</v>
          </cell>
          <cell r="G14">
            <v>1095.6669664875083</v>
          </cell>
          <cell r="H14">
            <v>1095.6669664875083</v>
          </cell>
          <cell r="I14">
            <v>12544.808619135061</v>
          </cell>
          <cell r="J14">
            <v>1095.6669664875074</v>
          </cell>
          <cell r="K14">
            <v>1095.6669664875074</v>
          </cell>
          <cell r="L14">
            <v>11493.889047492006</v>
          </cell>
          <cell r="M14">
            <v>1095.6669664875062</v>
          </cell>
          <cell r="N14">
            <v>1095.6669664875062</v>
          </cell>
        </row>
        <row r="15">
          <cell r="C15">
            <v>1794.2560512298369</v>
          </cell>
          <cell r="D15">
            <v>202.67894604902614</v>
          </cell>
          <cell r="E15">
            <v>202.67894604902614</v>
          </cell>
          <cell r="F15">
            <v>2767.4703478170991</v>
          </cell>
          <cell r="G15">
            <v>202.67894604902614</v>
          </cell>
          <cell r="H15">
            <v>202.67894604902614</v>
          </cell>
          <cell r="I15">
            <v>2320.5669852984665</v>
          </cell>
          <cell r="J15">
            <v>202.67894604902594</v>
          </cell>
          <cell r="K15">
            <v>202.67894604902594</v>
          </cell>
          <cell r="L15">
            <v>2126.1655132473907</v>
          </cell>
          <cell r="M15">
            <v>202.67894604902577</v>
          </cell>
          <cell r="N15">
            <v>202.67894604902577</v>
          </cell>
        </row>
        <row r="16">
          <cell r="C16">
            <v>956.44082925869373</v>
          </cell>
          <cell r="D16">
            <v>108.03944013427608</v>
          </cell>
          <cell r="E16">
            <v>108.03944013427608</v>
          </cell>
          <cell r="F16">
            <v>1475.2195666837808</v>
          </cell>
          <cell r="G16">
            <v>108.03944013427608</v>
          </cell>
          <cell r="H16">
            <v>108.03944013427608</v>
          </cell>
          <cell r="I16">
            <v>1236.9945807054185</v>
          </cell>
          <cell r="J16">
            <v>108.03944013427599</v>
          </cell>
          <cell r="K16">
            <v>108.03944013427599</v>
          </cell>
          <cell r="L16">
            <v>1133.3675064033994</v>
          </cell>
          <cell r="M16">
            <v>108.03944013427588</v>
          </cell>
          <cell r="N16">
            <v>108.03944013427588</v>
          </cell>
        </row>
        <row r="17">
          <cell r="C17">
            <v>2237.4399203439448</v>
          </cell>
          <cell r="D17">
            <v>252.74094218185729</v>
          </cell>
          <cell r="E17">
            <v>252.74094218185729</v>
          </cell>
          <cell r="F17">
            <v>3451.0395717099036</v>
          </cell>
          <cell r="G17">
            <v>252.74094218185729</v>
          </cell>
          <cell r="H17">
            <v>252.74094218185729</v>
          </cell>
          <cell r="I17">
            <v>2893.7504249631193</v>
          </cell>
          <cell r="J17">
            <v>252.74094218185704</v>
          </cell>
          <cell r="K17">
            <v>252.74094218185704</v>
          </cell>
          <cell r="L17">
            <v>2651.3315049641765</v>
          </cell>
          <cell r="M17">
            <v>252.74094218185678</v>
          </cell>
          <cell r="N17">
            <v>252.74094218185678</v>
          </cell>
        </row>
        <row r="18">
          <cell r="C18">
            <v>1882.0442495433008</v>
          </cell>
          <cell r="D18">
            <v>212.59549028891877</v>
          </cell>
          <cell r="E18">
            <v>212.59549028891877</v>
          </cell>
          <cell r="F18">
            <v>2902.8753450884037</v>
          </cell>
          <cell r="G18">
            <v>212.59549028891877</v>
          </cell>
          <cell r="H18">
            <v>212.59549028891877</v>
          </cell>
          <cell r="I18">
            <v>2434.1061842134841</v>
          </cell>
          <cell r="J18">
            <v>212.59549028891854</v>
          </cell>
          <cell r="K18">
            <v>212.59549028891854</v>
          </cell>
          <cell r="L18">
            <v>2230.1931628107141</v>
          </cell>
          <cell r="M18">
            <v>212.59549028891837</v>
          </cell>
          <cell r="N18">
            <v>212.59549028891837</v>
          </cell>
        </row>
        <row r="19">
          <cell r="C19">
            <v>8275.3171154588399</v>
          </cell>
          <cell r="D19">
            <v>934.77881823669441</v>
          </cell>
          <cell r="E19">
            <v>934.77881823669441</v>
          </cell>
          <cell r="F19">
            <v>12763.894384036301</v>
          </cell>
          <cell r="G19">
            <v>934.77881823669441</v>
          </cell>
          <cell r="H19">
            <v>934.77881823669441</v>
          </cell>
          <cell r="I19">
            <v>10702.724217007106</v>
          </cell>
          <cell r="J19">
            <v>934.7788182366935</v>
          </cell>
          <cell r="K19">
            <v>934.7788182366935</v>
          </cell>
          <cell r="L19">
            <v>9806.1220693749547</v>
          </cell>
          <cell r="M19">
            <v>934.77881823669259</v>
          </cell>
          <cell r="N19">
            <v>934.77881823669259</v>
          </cell>
        </row>
        <row r="20">
          <cell r="C20">
            <v>385.57696469017583</v>
          </cell>
          <cell r="D20">
            <v>43.554727192154196</v>
          </cell>
          <cell r="E20">
            <v>43.554727192154196</v>
          </cell>
          <cell r="F20">
            <v>594.71601940535652</v>
          </cell>
          <cell r="G20">
            <v>43.554727192154196</v>
          </cell>
          <cell r="H20">
            <v>43.554727192154196</v>
          </cell>
          <cell r="I20">
            <v>498.67864396406583</v>
          </cell>
          <cell r="J20">
            <v>43.554727192154161</v>
          </cell>
          <cell r="K20">
            <v>43.554727192154161</v>
          </cell>
          <cell r="L20">
            <v>456.90270597941856</v>
          </cell>
          <cell r="M20">
            <v>43.554727192154111</v>
          </cell>
          <cell r="N20">
            <v>43.554727192154111</v>
          </cell>
        </row>
        <row r="21">
          <cell r="C21">
            <v>3033.5262229373875</v>
          </cell>
          <cell r="D21">
            <v>342.66675442203945</v>
          </cell>
          <cell r="E21">
            <v>342.66675442203945</v>
          </cell>
          <cell r="F21">
            <v>4678.9274393420628</v>
          </cell>
          <cell r="G21">
            <v>342.66675442203945</v>
          </cell>
          <cell r="H21">
            <v>342.66675442203945</v>
          </cell>
          <cell r="I21">
            <v>3923.3535242423018</v>
          </cell>
          <cell r="J21">
            <v>342.66675442203916</v>
          </cell>
          <cell r="K21">
            <v>342.66675442203916</v>
          </cell>
          <cell r="L21">
            <v>3594.6813913879332</v>
          </cell>
          <cell r="M21">
            <v>342.66675442203882</v>
          </cell>
          <cell r="N21">
            <v>342.66675442203882</v>
          </cell>
        </row>
        <row r="22">
          <cell r="C22">
            <v>44777.055096520409</v>
          </cell>
          <cell r="D22">
            <v>5058.0107158738028</v>
          </cell>
          <cell r="E22">
            <v>5058.0107158738028</v>
          </cell>
          <cell r="F22">
            <v>69064.374706862378</v>
          </cell>
          <cell r="G22">
            <v>5058.0107158738028</v>
          </cell>
          <cell r="H22">
            <v>5058.0107158738028</v>
          </cell>
          <cell r="I22">
            <v>57911.553752126914</v>
          </cell>
          <cell r="J22">
            <v>5058.0107158737983</v>
          </cell>
          <cell r="K22">
            <v>5058.0107158737983</v>
          </cell>
          <cell r="L22">
            <v>53060.113837010453</v>
          </cell>
          <cell r="M22">
            <v>5058.0107158737928</v>
          </cell>
          <cell r="N22">
            <v>5058.0107158737928</v>
          </cell>
        </row>
        <row r="23">
          <cell r="C23">
            <v>4866.0556540996013</v>
          </cell>
          <cell r="D23">
            <v>549.66905682876666</v>
          </cell>
          <cell r="E23">
            <v>549.66905682876666</v>
          </cell>
          <cell r="F23">
            <v>7505.4308577184011</v>
          </cell>
          <cell r="G23">
            <v>549.66905682876666</v>
          </cell>
          <cell r="H23">
            <v>549.66905682876666</v>
          </cell>
          <cell r="I23">
            <v>6293.4206585445754</v>
          </cell>
          <cell r="J23">
            <v>549.6690568287662</v>
          </cell>
          <cell r="K23">
            <v>549.6690568287662</v>
          </cell>
          <cell r="L23">
            <v>5766.200264559543</v>
          </cell>
          <cell r="M23">
            <v>549.66905682876563</v>
          </cell>
          <cell r="N23">
            <v>549.66905682876563</v>
          </cell>
        </row>
        <row r="24">
          <cell r="C24">
            <v>2915992.3911505365</v>
          </cell>
          <cell r="D24">
            <v>329390.14703072852</v>
          </cell>
          <cell r="E24">
            <v>329390.14703072852</v>
          </cell>
          <cell r="F24">
            <v>4497642.6142957816</v>
          </cell>
          <cell r="G24">
            <v>329390.14703072852</v>
          </cell>
          <cell r="H24">
            <v>329390.14703072852</v>
          </cell>
          <cell r="I24">
            <v>3771343.3752375138</v>
          </cell>
          <cell r="J24">
            <v>329390.14703072817</v>
          </cell>
          <cell r="K24">
            <v>329390.14703072817</v>
          </cell>
          <cell r="L24">
            <v>3455405.6288156207</v>
          </cell>
          <cell r="M24">
            <v>329390.14703072788</v>
          </cell>
          <cell r="N24">
            <v>329390.14703072788</v>
          </cell>
        </row>
        <row r="25">
          <cell r="C25">
            <v>2249.6874019223055</v>
          </cell>
          <cell r="D25">
            <v>254.12441621632158</v>
          </cell>
          <cell r="E25">
            <v>254.12441621632158</v>
          </cell>
          <cell r="F25">
            <v>3469.9301542888597</v>
          </cell>
          <cell r="G25">
            <v>254.12441621632158</v>
          </cell>
          <cell r="H25">
            <v>254.12441621632158</v>
          </cell>
          <cell r="I25">
            <v>2909.5904726443368</v>
          </cell>
          <cell r="J25">
            <v>254.12441621632132</v>
          </cell>
          <cell r="K25">
            <v>254.12441621632132</v>
          </cell>
          <cell r="L25">
            <v>2665.8445801399271</v>
          </cell>
          <cell r="M25">
            <v>254.12441621632112</v>
          </cell>
          <cell r="N25">
            <v>254.12441621632112</v>
          </cell>
        </row>
        <row r="26">
          <cell r="C26">
            <v>61269.338825918327</v>
          </cell>
          <cell r="D26">
            <v>6920.9770867687066</v>
          </cell>
          <cell r="E26">
            <v>6920.9770867687066</v>
          </cell>
          <cell r="F26">
            <v>94502.16334221953</v>
          </cell>
          <cell r="G26">
            <v>6920.9770867687066</v>
          </cell>
          <cell r="H26">
            <v>6920.9770867687066</v>
          </cell>
          <cell r="I26">
            <v>79241.535673259888</v>
          </cell>
          <cell r="J26">
            <v>6920.9770867687012</v>
          </cell>
          <cell r="K26">
            <v>6920.9770867687012</v>
          </cell>
          <cell r="L26">
            <v>72603.21353903017</v>
          </cell>
          <cell r="M26">
            <v>6920.9770867686939</v>
          </cell>
          <cell r="N26">
            <v>6920.9770867686939</v>
          </cell>
        </row>
      </sheetData>
      <sheetData sheetId="24">
        <row r="7">
          <cell r="C7">
            <v>154257.12253206508</v>
          </cell>
          <cell r="D7">
            <v>120162.95703191035</v>
          </cell>
          <cell r="E7">
            <v>120162.95703191035</v>
          </cell>
          <cell r="F7">
            <v>181543.94365766429</v>
          </cell>
          <cell r="G7">
            <v>120162.95703191035</v>
          </cell>
          <cell r="H7">
            <v>120162.95703191035</v>
          </cell>
          <cell r="I7">
            <v>152643.60360410286</v>
          </cell>
          <cell r="J7">
            <v>120162.95703191037</v>
          </cell>
          <cell r="K7">
            <v>120162.95703191037</v>
          </cell>
          <cell r="L7">
            <v>159154.33645088488</v>
          </cell>
          <cell r="M7">
            <v>120162.9570319104</v>
          </cell>
          <cell r="N7">
            <v>120162.9570319104</v>
          </cell>
        </row>
        <row r="8">
          <cell r="C8">
            <v>62970.715773363561</v>
          </cell>
          <cell r="D8">
            <v>49052.82355549217</v>
          </cell>
          <cell r="E8">
            <v>49052.82355549217</v>
          </cell>
          <cell r="F8">
            <v>74109.719465731454</v>
          </cell>
          <cell r="G8">
            <v>49052.82355549217</v>
          </cell>
          <cell r="H8">
            <v>49052.82355549217</v>
          </cell>
          <cell r="I8">
            <v>62312.046402770757</v>
          </cell>
          <cell r="J8">
            <v>49052.823555492178</v>
          </cell>
          <cell r="K8">
            <v>49052.823555492178</v>
          </cell>
          <cell r="L8">
            <v>64969.852414196837</v>
          </cell>
          <cell r="M8">
            <v>49052.823555492192</v>
          </cell>
          <cell r="N8">
            <v>49052.823555492192</v>
          </cell>
        </row>
        <row r="9">
          <cell r="C9">
            <v>46065.825632863278</v>
          </cell>
          <cell r="D9">
            <v>35884.280319118436</v>
          </cell>
          <cell r="E9">
            <v>35884.280319118436</v>
          </cell>
          <cell r="F9">
            <v>54214.492763521666</v>
          </cell>
          <cell r="G9">
            <v>35884.280319118436</v>
          </cell>
          <cell r="H9">
            <v>35884.280319118436</v>
          </cell>
          <cell r="I9">
            <v>45583.980254375922</v>
          </cell>
          <cell r="J9">
            <v>35884.280319118443</v>
          </cell>
          <cell r="K9">
            <v>35884.280319118443</v>
          </cell>
          <cell r="L9">
            <v>47528.281296291651</v>
          </cell>
          <cell r="M9">
            <v>35884.28031911845</v>
          </cell>
          <cell r="N9">
            <v>35884.28031911845</v>
          </cell>
        </row>
        <row r="10">
          <cell r="C10">
            <v>372752.82759803126</v>
          </cell>
          <cell r="D10">
            <v>290366.37836204091</v>
          </cell>
          <cell r="E10">
            <v>290366.37836204091</v>
          </cell>
          <cell r="F10">
            <v>438689.74878372578</v>
          </cell>
          <cell r="G10">
            <v>290366.37836204091</v>
          </cell>
          <cell r="H10">
            <v>290366.37836204091</v>
          </cell>
          <cell r="I10">
            <v>368853.85857210611</v>
          </cell>
          <cell r="J10">
            <v>290366.37836204097</v>
          </cell>
          <cell r="K10">
            <v>290366.37836204097</v>
          </cell>
          <cell r="L10">
            <v>384586.6431498095</v>
          </cell>
          <cell r="M10">
            <v>290366.37836204102</v>
          </cell>
          <cell r="N10">
            <v>290366.37836204102</v>
          </cell>
        </row>
        <row r="11">
          <cell r="C11">
            <v>280198.55407879222</v>
          </cell>
          <cell r="D11">
            <v>218268.60414289468</v>
          </cell>
          <cell r="E11">
            <v>218268.60414289468</v>
          </cell>
          <cell r="F11">
            <v>329763.38258912717</v>
          </cell>
          <cell r="G11">
            <v>218268.60414289468</v>
          </cell>
          <cell r="H11">
            <v>218268.60414289468</v>
          </cell>
          <cell r="I11">
            <v>277267.69640964438</v>
          </cell>
          <cell r="J11">
            <v>218268.60414289474</v>
          </cell>
          <cell r="K11">
            <v>218268.60414289474</v>
          </cell>
          <cell r="L11">
            <v>289094.04127927852</v>
          </cell>
          <cell r="M11">
            <v>218268.60414289479</v>
          </cell>
          <cell r="N11">
            <v>218268.60414289479</v>
          </cell>
        </row>
        <row r="12">
          <cell r="C12">
            <v>136084.36563102729</v>
          </cell>
          <cell r="D12">
            <v>106006.77305280858</v>
          </cell>
          <cell r="E12">
            <v>106006.77305280858</v>
          </cell>
          <cell r="F12">
            <v>160156.57495278877</v>
          </cell>
          <cell r="G12">
            <v>106006.77305280858</v>
          </cell>
          <cell r="H12">
            <v>106006.77305280858</v>
          </cell>
          <cell r="I12">
            <v>134660.93249457842</v>
          </cell>
          <cell r="J12">
            <v>106006.7730528086</v>
          </cell>
          <cell r="K12">
            <v>106006.7730528086</v>
          </cell>
          <cell r="L12">
            <v>140404.6474991368</v>
          </cell>
          <cell r="M12">
            <v>106006.77305280862</v>
          </cell>
          <cell r="N12">
            <v>106006.77305280862</v>
          </cell>
        </row>
        <row r="13">
          <cell r="C13">
            <v>46911.070139888296</v>
          </cell>
          <cell r="D13">
            <v>36542.707480937126</v>
          </cell>
          <cell r="E13">
            <v>36542.707480937126</v>
          </cell>
          <cell r="F13">
            <v>55209.254098632155</v>
          </cell>
          <cell r="G13">
            <v>36542.707480937126</v>
          </cell>
          <cell r="H13">
            <v>36542.707480937126</v>
          </cell>
          <cell r="I13">
            <v>46420.383561795665</v>
          </cell>
          <cell r="J13">
            <v>36542.707480937126</v>
          </cell>
          <cell r="K13">
            <v>36542.707480937126</v>
          </cell>
          <cell r="L13">
            <v>48400.359852186913</v>
          </cell>
          <cell r="M13">
            <v>36542.707480937141</v>
          </cell>
          <cell r="N13">
            <v>36542.707480937141</v>
          </cell>
        </row>
        <row r="14">
          <cell r="C14">
            <v>114530.63070188943</v>
          </cell>
          <cell r="D14">
            <v>89216.880426432064</v>
          </cell>
          <cell r="E14">
            <v>89216.880426432064</v>
          </cell>
          <cell r="F14">
            <v>134790.16090747129</v>
          </cell>
          <cell r="G14">
            <v>89216.880426432064</v>
          </cell>
          <cell r="H14">
            <v>89216.880426432064</v>
          </cell>
          <cell r="I14">
            <v>113332.64815537501</v>
          </cell>
          <cell r="J14">
            <v>89216.880426432079</v>
          </cell>
          <cell r="K14">
            <v>89216.880426432079</v>
          </cell>
          <cell r="L14">
            <v>118166.64432380768</v>
          </cell>
          <cell r="M14">
            <v>89216.880426432108</v>
          </cell>
          <cell r="N14">
            <v>89216.880426432108</v>
          </cell>
        </row>
        <row r="15">
          <cell r="C15">
            <v>71423.160843613703</v>
          </cell>
          <cell r="D15">
            <v>55637.095173679038</v>
          </cell>
          <cell r="E15">
            <v>55637.095173679038</v>
          </cell>
          <cell r="F15">
            <v>84057.332816836337</v>
          </cell>
          <cell r="G15">
            <v>55637.095173679038</v>
          </cell>
          <cell r="H15">
            <v>55637.095173679038</v>
          </cell>
          <cell r="I15">
            <v>70676.079476968167</v>
          </cell>
          <cell r="J15">
            <v>55637.095173679045</v>
          </cell>
          <cell r="K15">
            <v>55637.095173679045</v>
          </cell>
          <cell r="L15">
            <v>73690.637973149423</v>
          </cell>
          <cell r="M15">
            <v>55637.095173679059</v>
          </cell>
          <cell r="N15">
            <v>55637.095173679059</v>
          </cell>
        </row>
        <row r="16">
          <cell r="C16">
            <v>53673.026196088402</v>
          </cell>
          <cell r="D16">
            <v>41810.124775486613</v>
          </cell>
          <cell r="E16">
            <v>41810.124775486613</v>
          </cell>
          <cell r="F16">
            <v>63167.344779516068</v>
          </cell>
          <cell r="G16">
            <v>41810.124775486613</v>
          </cell>
          <cell r="H16">
            <v>41810.124775486613</v>
          </cell>
          <cell r="I16">
            <v>53111.610021153596</v>
          </cell>
          <cell r="J16">
            <v>41810.12477548662</v>
          </cell>
          <cell r="K16">
            <v>41810.12477548662</v>
          </cell>
          <cell r="L16">
            <v>55376.988299348981</v>
          </cell>
          <cell r="M16">
            <v>41810.124775486634</v>
          </cell>
          <cell r="N16">
            <v>41810.124775486634</v>
          </cell>
        </row>
        <row r="17">
          <cell r="C17">
            <v>143268.9439407399</v>
          </cell>
          <cell r="D17">
            <v>111603.40392826742</v>
          </cell>
          <cell r="E17">
            <v>111603.40392826742</v>
          </cell>
          <cell r="F17">
            <v>168612.04630122794</v>
          </cell>
          <cell r="G17">
            <v>111603.40392826742</v>
          </cell>
          <cell r="H17">
            <v>111603.40392826742</v>
          </cell>
          <cell r="I17">
            <v>141770.36060764623</v>
          </cell>
          <cell r="J17">
            <v>111603.40392826743</v>
          </cell>
          <cell r="K17">
            <v>111603.40392826743</v>
          </cell>
          <cell r="L17">
            <v>147817.3152242465</v>
          </cell>
          <cell r="M17">
            <v>111603.40392826746</v>
          </cell>
          <cell r="N17">
            <v>111603.40392826746</v>
          </cell>
        </row>
        <row r="18">
          <cell r="C18">
            <v>93399.518026264079</v>
          </cell>
          <cell r="D18">
            <v>72756.201380964907</v>
          </cell>
          <cell r="E18">
            <v>72756.201380964907</v>
          </cell>
          <cell r="F18">
            <v>109921.12752970908</v>
          </cell>
          <cell r="G18">
            <v>72756.201380964907</v>
          </cell>
          <cell r="H18">
            <v>72756.201380964907</v>
          </cell>
          <cell r="I18">
            <v>92422.565469881461</v>
          </cell>
          <cell r="J18">
            <v>72756.201380964922</v>
          </cell>
          <cell r="K18">
            <v>72756.201380964922</v>
          </cell>
          <cell r="L18">
            <v>96364.680426426188</v>
          </cell>
          <cell r="M18">
            <v>72756.201380964936</v>
          </cell>
          <cell r="N18">
            <v>72756.201380964936</v>
          </cell>
        </row>
        <row r="19">
          <cell r="C19">
            <v>166935.79013744032</v>
          </cell>
          <cell r="D19">
            <v>130039.36445919066</v>
          </cell>
          <cell r="E19">
            <v>130039.36445919066</v>
          </cell>
          <cell r="F19">
            <v>196465.36368432164</v>
          </cell>
          <cell r="G19">
            <v>130039.36445919066</v>
          </cell>
          <cell r="H19">
            <v>130039.36445919066</v>
          </cell>
          <cell r="I19">
            <v>165189.65321539898</v>
          </cell>
          <cell r="J19">
            <v>130039.36445919068</v>
          </cell>
          <cell r="K19">
            <v>130039.36445919068</v>
          </cell>
          <cell r="L19">
            <v>172235.51478931378</v>
          </cell>
          <cell r="M19">
            <v>130039.36445919071</v>
          </cell>
          <cell r="N19">
            <v>130039.36445919071</v>
          </cell>
        </row>
        <row r="20">
          <cell r="C20">
            <v>31696.669013438033</v>
          </cell>
          <cell r="D20">
            <v>24691.018568200758</v>
          </cell>
          <cell r="E20">
            <v>24691.018568200758</v>
          </cell>
          <cell r="F20">
            <v>37303.550066643344</v>
          </cell>
          <cell r="G20">
            <v>24691.018568200758</v>
          </cell>
          <cell r="H20">
            <v>24691.018568200758</v>
          </cell>
          <cell r="I20">
            <v>31365.124028240312</v>
          </cell>
          <cell r="J20">
            <v>24691.018568200761</v>
          </cell>
          <cell r="K20">
            <v>24691.018568200761</v>
          </cell>
          <cell r="L20">
            <v>32702.945846072234</v>
          </cell>
          <cell r="M20">
            <v>24691.018568200769</v>
          </cell>
          <cell r="N20">
            <v>24691.018568200769</v>
          </cell>
        </row>
        <row r="21">
          <cell r="C21">
            <v>96357.873800851623</v>
          </cell>
          <cell r="D21">
            <v>75060.696447330309</v>
          </cell>
          <cell r="E21">
            <v>75060.696447330309</v>
          </cell>
          <cell r="F21">
            <v>113402.79220259578</v>
          </cell>
          <cell r="G21">
            <v>75060.696447330309</v>
          </cell>
          <cell r="H21">
            <v>75060.696447330309</v>
          </cell>
          <cell r="I21">
            <v>95349.977045850552</v>
          </cell>
          <cell r="J21">
            <v>75060.696447330323</v>
          </cell>
          <cell r="K21">
            <v>75060.696447330323</v>
          </cell>
          <cell r="L21">
            <v>99416.955372059601</v>
          </cell>
          <cell r="M21">
            <v>75060.696447330338</v>
          </cell>
          <cell r="N21">
            <v>75060.696447330338</v>
          </cell>
        </row>
        <row r="22">
          <cell r="C22">
            <v>375288.56111910637</v>
          </cell>
          <cell r="D22">
            <v>292341.65984749701</v>
          </cell>
          <cell r="E22">
            <v>292341.65984749701</v>
          </cell>
          <cell r="F22">
            <v>441674.03278905724</v>
          </cell>
          <cell r="G22">
            <v>292341.65984749701</v>
          </cell>
          <cell r="H22">
            <v>292341.65984749701</v>
          </cell>
          <cell r="I22">
            <v>371363.06849436532</v>
          </cell>
          <cell r="J22">
            <v>292341.65984749701</v>
          </cell>
          <cell r="K22">
            <v>292341.65984749701</v>
          </cell>
          <cell r="L22">
            <v>387202.87881749531</v>
          </cell>
          <cell r="M22">
            <v>292341.65984749713</v>
          </cell>
          <cell r="N22">
            <v>292341.65984749713</v>
          </cell>
        </row>
        <row r="23">
          <cell r="C23">
            <v>165667.92337690279</v>
          </cell>
          <cell r="D23">
            <v>129051.72371646263</v>
          </cell>
          <cell r="E23">
            <v>129051.72371646263</v>
          </cell>
          <cell r="F23">
            <v>194973.22168165588</v>
          </cell>
          <cell r="G23">
            <v>129051.72371646263</v>
          </cell>
          <cell r="H23">
            <v>129051.72371646263</v>
          </cell>
          <cell r="I23">
            <v>163935.04825426938</v>
          </cell>
          <cell r="J23">
            <v>129051.72371646264</v>
          </cell>
          <cell r="K23">
            <v>129051.72371646264</v>
          </cell>
          <cell r="L23">
            <v>170927.39695547087</v>
          </cell>
          <cell r="M23">
            <v>129051.72371646267</v>
          </cell>
          <cell r="N23">
            <v>129051.72371646267</v>
          </cell>
        </row>
        <row r="24">
          <cell r="C24">
            <v>1496928.0219413002</v>
          </cell>
          <cell r="D24">
            <v>1166074.5035808946</v>
          </cell>
          <cell r="E24">
            <v>1166074.5035808946</v>
          </cell>
          <cell r="F24">
            <v>1761722.3244806766</v>
          </cell>
          <cell r="G24">
            <v>1166074.5035808946</v>
          </cell>
          <cell r="H24">
            <v>1166074.5035808946</v>
          </cell>
          <cell r="I24">
            <v>1481270.2574403626</v>
          </cell>
          <cell r="J24">
            <v>1166074.5035808946</v>
          </cell>
          <cell r="K24">
            <v>1166074.5035808946</v>
          </cell>
          <cell r="L24">
            <v>1544451.1224905048</v>
          </cell>
          <cell r="M24">
            <v>1166074.503580895</v>
          </cell>
          <cell r="N24">
            <v>1166074.503580895</v>
          </cell>
        </row>
        <row r="25">
          <cell r="C25">
            <v>126786.67605375213</v>
          </cell>
          <cell r="D25">
            <v>98764.074272803031</v>
          </cell>
          <cell r="E25">
            <v>98764.074272803031</v>
          </cell>
          <cell r="F25">
            <v>149214.20026657337</v>
          </cell>
          <cell r="G25">
            <v>98764.074272803031</v>
          </cell>
          <cell r="H25">
            <v>98764.074272803031</v>
          </cell>
          <cell r="I25">
            <v>125460.49611296125</v>
          </cell>
          <cell r="J25">
            <v>98764.074272803045</v>
          </cell>
          <cell r="K25">
            <v>98764.074272803045</v>
          </cell>
          <cell r="L25">
            <v>130811.78338428894</v>
          </cell>
          <cell r="M25">
            <v>98764.074272803075</v>
          </cell>
          <cell r="N25">
            <v>98764.074272803075</v>
          </cell>
        </row>
        <row r="26">
          <cell r="C26">
            <v>191025.2585876532</v>
          </cell>
          <cell r="D26">
            <v>148804.53857102324</v>
          </cell>
          <cell r="E26">
            <v>148804.53857102324</v>
          </cell>
          <cell r="F26">
            <v>224816.06173497057</v>
          </cell>
          <cell r="G26">
            <v>148804.53857102324</v>
          </cell>
          <cell r="H26">
            <v>148804.53857102324</v>
          </cell>
          <cell r="I26">
            <v>189027.1474768616</v>
          </cell>
          <cell r="J26">
            <v>148804.53857102324</v>
          </cell>
          <cell r="K26">
            <v>148804.53857102324</v>
          </cell>
          <cell r="L26">
            <v>197089.75363232865</v>
          </cell>
          <cell r="M26">
            <v>148804.53857102329</v>
          </cell>
          <cell r="N26">
            <v>148804.53857102329</v>
          </cell>
        </row>
      </sheetData>
      <sheetData sheetId="25">
        <row r="7">
          <cell r="C7">
            <v>49487.569592003689</v>
          </cell>
          <cell r="D7">
            <v>49987.097107952257</v>
          </cell>
          <cell r="E7">
            <v>30112.873538488253</v>
          </cell>
          <cell r="F7">
            <v>45260.099645168193</v>
          </cell>
          <cell r="G7">
            <v>35324.261531033699</v>
          </cell>
          <cell r="H7">
            <v>45263.973569863534</v>
          </cell>
          <cell r="I7">
            <v>34344.134353426532</v>
          </cell>
          <cell r="J7">
            <v>37587.581978728987</v>
          </cell>
          <cell r="K7">
            <v>39211.654630915633</v>
          </cell>
          <cell r="L7">
            <v>27817.594228389535</v>
          </cell>
          <cell r="M7">
            <v>35640.607055877183</v>
          </cell>
          <cell r="N7">
            <v>57223.573424771588</v>
          </cell>
        </row>
        <row r="8">
          <cell r="C8">
            <v>21160.443854843212</v>
          </cell>
          <cell r="D8">
            <v>21374.03737019109</v>
          </cell>
          <cell r="E8">
            <v>12875.996438550803</v>
          </cell>
          <cell r="F8">
            <v>19352.815369638636</v>
          </cell>
          <cell r="G8">
            <v>15104.339514018397</v>
          </cell>
          <cell r="H8">
            <v>19354.471825324166</v>
          </cell>
          <cell r="I8">
            <v>14685.245865181909</v>
          </cell>
          <cell r="J8">
            <v>16072.115172710543</v>
          </cell>
          <cell r="K8">
            <v>16766.554169333536</v>
          </cell>
          <cell r="L8">
            <v>11894.555455028039</v>
          </cell>
          <cell r="M8">
            <v>15239.606042004507</v>
          </cell>
          <cell r="N8">
            <v>24468.290170872187</v>
          </cell>
        </row>
        <row r="9">
          <cell r="C9">
            <v>15719.452285899188</v>
          </cell>
          <cell r="D9">
            <v>15878.124433615974</v>
          </cell>
          <cell r="E9">
            <v>9565.1874335746015</v>
          </cell>
          <cell r="F9">
            <v>14376.619880363331</v>
          </cell>
          <cell r="G9">
            <v>11220.555954750937</v>
          </cell>
          <cell r="H9">
            <v>14377.850411078611</v>
          </cell>
          <cell r="I9">
            <v>10909.223987359303</v>
          </cell>
          <cell r="J9">
            <v>11939.487154617234</v>
          </cell>
          <cell r="K9">
            <v>12455.364834110445</v>
          </cell>
          <cell r="L9">
            <v>8836.1046781398236</v>
          </cell>
          <cell r="M9">
            <v>11321.04135794678</v>
          </cell>
          <cell r="N9">
            <v>18176.751040622788</v>
          </cell>
        </row>
        <row r="10">
          <cell r="C10">
            <v>199295.26000199773</v>
          </cell>
          <cell r="D10">
            <v>201306.94631009252</v>
          </cell>
          <cell r="E10">
            <v>121269.90698347015</v>
          </cell>
          <cell r="F10">
            <v>182270.48531309591</v>
          </cell>
          <cell r="G10">
            <v>142257.09494821221</v>
          </cell>
          <cell r="H10">
            <v>182286.08629806549</v>
          </cell>
          <cell r="I10">
            <v>138309.94817364504</v>
          </cell>
          <cell r="J10">
            <v>151371.88964938815</v>
          </cell>
          <cell r="K10">
            <v>157912.31958256412</v>
          </cell>
          <cell r="L10">
            <v>112026.40824924974</v>
          </cell>
          <cell r="M10">
            <v>143531.07474038887</v>
          </cell>
          <cell r="N10">
            <v>230449.52576891161</v>
          </cell>
        </row>
        <row r="11">
          <cell r="C11">
            <v>100171.56265789412</v>
          </cell>
          <cell r="D11">
            <v>101182.69438805831</v>
          </cell>
          <cell r="E11">
            <v>60953.76320435269</v>
          </cell>
          <cell r="F11">
            <v>91614.418426421864</v>
          </cell>
          <cell r="G11">
            <v>71502.530968333071</v>
          </cell>
          <cell r="H11">
            <v>91622.259932754678</v>
          </cell>
          <cell r="I11">
            <v>69518.580820976335</v>
          </cell>
          <cell r="J11">
            <v>76083.890447296755</v>
          </cell>
          <cell r="K11">
            <v>79371.29972564154</v>
          </cell>
          <cell r="L11">
            <v>56307.713355380649</v>
          </cell>
          <cell r="M11">
            <v>72142.870064082934</v>
          </cell>
          <cell r="N11">
            <v>115830.59782661723</v>
          </cell>
        </row>
        <row r="12">
          <cell r="C12">
            <v>56391.59976998972</v>
          </cell>
          <cell r="D12">
            <v>56960.816564948676</v>
          </cell>
          <cell r="E12">
            <v>34313.932296669678</v>
          </cell>
          <cell r="F12">
            <v>51574.353838394658</v>
          </cell>
          <cell r="G12">
            <v>40252.3630651356</v>
          </cell>
          <cell r="H12">
            <v>51578.768215838529</v>
          </cell>
          <cell r="I12">
            <v>39135.497961858346</v>
          </cell>
          <cell r="J12">
            <v>42831.44023319862</v>
          </cell>
          <cell r="K12">
            <v>44682.087895925892</v>
          </cell>
          <cell r="L12">
            <v>31698.437672816915</v>
          </cell>
          <cell r="M12">
            <v>40612.842077806352</v>
          </cell>
          <cell r="N12">
            <v>65206.856521395093</v>
          </cell>
        </row>
        <row r="13">
          <cell r="C13">
            <v>16731.521396397518</v>
          </cell>
          <cell r="D13">
            <v>16900.409369480225</v>
          </cell>
          <cell r="E13">
            <v>10181.025095191573</v>
          </cell>
          <cell r="F13">
            <v>15302.233103372624</v>
          </cell>
          <cell r="G13">
            <v>11942.971588443737</v>
          </cell>
          <cell r="H13">
            <v>15303.542859629853</v>
          </cell>
          <cell r="I13">
            <v>11611.595063418856</v>
          </cell>
          <cell r="J13">
            <v>12708.189901036654</v>
          </cell>
          <cell r="K13">
            <v>13257.28145177136</v>
          </cell>
          <cell r="L13">
            <v>9405.0016370941157</v>
          </cell>
          <cell r="M13">
            <v>12049.926566455597</v>
          </cell>
          <cell r="N13">
            <v>19347.028981790918</v>
          </cell>
        </row>
        <row r="14">
          <cell r="C14">
            <v>39018.096574505122</v>
          </cell>
          <cell r="D14">
            <v>39411.945232250742</v>
          </cell>
          <cell r="E14">
            <v>23742.265331422641</v>
          </cell>
          <cell r="F14">
            <v>35684.980157365528</v>
          </cell>
          <cell r="G14">
            <v>27851.144422813915</v>
          </cell>
          <cell r="H14">
            <v>35688.034523727249</v>
          </cell>
          <cell r="I14">
            <v>27078.3706295874</v>
          </cell>
          <cell r="J14">
            <v>29635.64215699839</v>
          </cell>
          <cell r="K14">
            <v>30916.12984531013</v>
          </cell>
          <cell r="L14">
            <v>21932.569876074063</v>
          </cell>
          <cell r="M14">
            <v>28100.564637648022</v>
          </cell>
          <cell r="N14">
            <v>45117.48975821185</v>
          </cell>
        </row>
        <row r="15">
          <cell r="C15">
            <v>24644.957510019882</v>
          </cell>
          <cell r="D15">
            <v>24893.723705392451</v>
          </cell>
          <cell r="E15">
            <v>14996.300989906767</v>
          </cell>
          <cell r="F15">
            <v>22539.664846153002</v>
          </cell>
          <cell r="G15">
            <v>17591.587780173049</v>
          </cell>
          <cell r="H15">
            <v>22541.594072225344</v>
          </cell>
          <cell r="I15">
            <v>17103.481517414744</v>
          </cell>
          <cell r="J15">
            <v>18718.728125210775</v>
          </cell>
          <cell r="K15">
            <v>19527.521158215019</v>
          </cell>
          <cell r="L15">
            <v>13853.245035909164</v>
          </cell>
          <cell r="M15">
            <v>17749.128796685451</v>
          </cell>
          <cell r="N15">
            <v>28497.510531470383</v>
          </cell>
        </row>
        <row r="16">
          <cell r="C16">
            <v>18987.763139484818</v>
          </cell>
          <cell r="D16">
            <v>19179.425616197335</v>
          </cell>
          <cell r="E16">
            <v>11553.933945676406</v>
          </cell>
          <cell r="F16">
            <v>17365.735654773322</v>
          </cell>
          <cell r="G16">
            <v>13553.478511033225</v>
          </cell>
          <cell r="H16">
            <v>17367.222031355192</v>
          </cell>
          <cell r="I16">
            <v>13177.415939191267</v>
          </cell>
          <cell r="J16">
            <v>14421.886333924875</v>
          </cell>
          <cell r="K16">
            <v>15045.022751721752</v>
          </cell>
          <cell r="L16">
            <v>10673.263905938657</v>
          </cell>
          <cell r="M16">
            <v>13674.856342789475</v>
          </cell>
          <cell r="N16">
            <v>21955.971310420704</v>
          </cell>
        </row>
        <row r="17">
          <cell r="C17">
            <v>44967.112246977573</v>
          </cell>
          <cell r="D17">
            <v>45421.010267537116</v>
          </cell>
          <cell r="E17">
            <v>27362.203794769477</v>
          </cell>
          <cell r="F17">
            <v>41125.801849491567</v>
          </cell>
          <cell r="G17">
            <v>32097.555939870734</v>
          </cell>
          <cell r="H17">
            <v>41129.321909337865</v>
          </cell>
          <cell r="I17">
            <v>31206.958782339352</v>
          </cell>
          <cell r="J17">
            <v>34154.132681494324</v>
          </cell>
          <cell r="K17">
            <v>35629.853915133644</v>
          </cell>
          <cell r="L17">
            <v>25276.587482909788</v>
          </cell>
          <cell r="M17">
            <v>32385.004784939178</v>
          </cell>
          <cell r="N17">
            <v>51996.468417811469</v>
          </cell>
        </row>
        <row r="18">
          <cell r="C18">
            <v>32819.71374054248</v>
          </cell>
          <cell r="D18">
            <v>33150.995923404123</v>
          </cell>
          <cell r="E18">
            <v>19970.588525285591</v>
          </cell>
          <cell r="F18">
            <v>30016.09346487014</v>
          </cell>
          <cell r="G18">
            <v>23426.734452764689</v>
          </cell>
          <cell r="H18">
            <v>30018.662617095677</v>
          </cell>
          <cell r="I18">
            <v>22776.72287079379</v>
          </cell>
          <cell r="J18">
            <v>24927.74833986571</v>
          </cell>
          <cell r="K18">
            <v>26004.818803783219</v>
          </cell>
          <cell r="L18">
            <v>18448.379806346969</v>
          </cell>
          <cell r="M18">
            <v>23636.531976750233</v>
          </cell>
          <cell r="N18">
            <v>37950.162323497476</v>
          </cell>
        </row>
        <row r="19">
          <cell r="C19">
            <v>58334.808806650515</v>
          </cell>
          <cell r="D19">
            <v>58923.640353173447</v>
          </cell>
          <cell r="E19">
            <v>35496.362722375401</v>
          </cell>
          <cell r="F19">
            <v>53351.564466351432</v>
          </cell>
          <cell r="G19">
            <v>41639.427024557961</v>
          </cell>
          <cell r="H19">
            <v>53356.130959680908</v>
          </cell>
          <cell r="I19">
            <v>40484.075650802981</v>
          </cell>
          <cell r="J19">
            <v>44307.377111276721</v>
          </cell>
          <cell r="K19">
            <v>46221.796599533947</v>
          </cell>
          <cell r="L19">
            <v>32790.740263718537</v>
          </cell>
          <cell r="M19">
            <v>42012.327853204952</v>
          </cell>
          <cell r="N19">
            <v>67453.832194393326</v>
          </cell>
        </row>
        <row r="20">
          <cell r="C20">
            <v>9946.8484494325839</v>
          </cell>
          <cell r="D20">
            <v>10047.251935367056</v>
          </cell>
          <cell r="E20">
            <v>6052.5944582388584</v>
          </cell>
          <cell r="F20">
            <v>9097.1400634200691</v>
          </cell>
          <cell r="G20">
            <v>7100.0673287072887</v>
          </cell>
          <cell r="H20">
            <v>9097.9187103038566</v>
          </cell>
          <cell r="I20">
            <v>6903.0647970169075</v>
          </cell>
          <cell r="J20">
            <v>7554.9877394555397</v>
          </cell>
          <cell r="K20">
            <v>7881.4213201577695</v>
          </cell>
          <cell r="L20">
            <v>5591.2504149791703</v>
          </cell>
          <cell r="M20">
            <v>7163.6518009134707</v>
          </cell>
          <cell r="N20">
            <v>11501.761296500457</v>
          </cell>
        </row>
        <row r="21">
          <cell r="C21">
            <v>31140.456664174955</v>
          </cell>
          <cell r="D21">
            <v>31454.788426498406</v>
          </cell>
          <cell r="E21">
            <v>18948.771200325715</v>
          </cell>
          <cell r="F21">
            <v>28480.286731323682</v>
          </cell>
          <cell r="G21">
            <v>22228.079585845735</v>
          </cell>
          <cell r="H21">
            <v>28482.724430024391</v>
          </cell>
          <cell r="I21">
            <v>21611.326567839613</v>
          </cell>
          <cell r="J21">
            <v>23652.292431610233</v>
          </cell>
          <cell r="K21">
            <v>24674.253389924535</v>
          </cell>
          <cell r="L21">
            <v>17504.447979816297</v>
          </cell>
          <cell r="M21">
            <v>22427.142586686368</v>
          </cell>
          <cell r="N21">
            <v>36008.400151687129</v>
          </cell>
        </row>
        <row r="22">
          <cell r="C22">
            <v>129750.83488649508</v>
          </cell>
          <cell r="D22">
            <v>131060.53978365325</v>
          </cell>
          <cell r="E22">
            <v>78952.563535907117</v>
          </cell>
          <cell r="F22">
            <v>118666.88472321804</v>
          </cell>
          <cell r="G22">
            <v>92616.236020229044</v>
          </cell>
          <cell r="H22">
            <v>118677.04171754312</v>
          </cell>
          <cell r="I22">
            <v>90046.452928476167</v>
          </cell>
          <cell r="J22">
            <v>98550.40737124224</v>
          </cell>
          <cell r="K22">
            <v>102808.54298539432</v>
          </cell>
          <cell r="L22">
            <v>72934.599646423056</v>
          </cell>
          <cell r="M22">
            <v>93445.658364050905</v>
          </cell>
          <cell r="N22">
            <v>150033.76581767882</v>
          </cell>
        </row>
        <row r="23">
          <cell r="C23">
            <v>52682.925120104977</v>
          </cell>
          <cell r="D23">
            <v>53214.706554010809</v>
          </cell>
          <cell r="E23">
            <v>32057.227195810941</v>
          </cell>
          <cell r="F23">
            <v>48182.492294391595</v>
          </cell>
          <cell r="G23">
            <v>37605.108525336742</v>
          </cell>
          <cell r="H23">
            <v>48186.616353954996</v>
          </cell>
          <cell r="I23">
            <v>36561.695661626378</v>
          </cell>
          <cell r="J23">
            <v>40014.568974734124</v>
          </cell>
          <cell r="K23">
            <v>41743.506132694376</v>
          </cell>
          <cell r="L23">
            <v>29613.74433697206</v>
          </cell>
          <cell r="M23">
            <v>37941.880117371082</v>
          </cell>
          <cell r="N23">
            <v>60918.433834932017</v>
          </cell>
        </row>
        <row r="24">
          <cell r="C24">
            <v>548619.70823383552</v>
          </cell>
          <cell r="D24">
            <v>554157.47544111335</v>
          </cell>
          <cell r="E24">
            <v>333831.62743634178</v>
          </cell>
          <cell r="F24">
            <v>501753.93268815277</v>
          </cell>
          <cell r="G24">
            <v>391605.12861118175</v>
          </cell>
          <cell r="H24">
            <v>501796.8790573845</v>
          </cell>
          <cell r="I24">
            <v>380739.42858501227</v>
          </cell>
          <cell r="J24">
            <v>416696.32249868475</v>
          </cell>
          <cell r="K24">
            <v>434700.80871489929</v>
          </cell>
          <cell r="L24">
            <v>308386.13726975681</v>
          </cell>
          <cell r="M24">
            <v>395112.13837083563</v>
          </cell>
          <cell r="N24">
            <v>634381.12671971601</v>
          </cell>
        </row>
        <row r="25">
          <cell r="C25">
            <v>40542.153219355918</v>
          </cell>
          <cell r="D25">
            <v>40951.3857045201</v>
          </cell>
          <cell r="E25">
            <v>24669.644174034063</v>
          </cell>
          <cell r="F25">
            <v>37078.8444384268</v>
          </cell>
          <cell r="G25">
            <v>28939.017113969843</v>
          </cell>
          <cell r="H25">
            <v>37082.018109105185</v>
          </cell>
          <cell r="I25">
            <v>28136.058582431338</v>
          </cell>
          <cell r="J25">
            <v>30793.217777519716</v>
          </cell>
          <cell r="K25">
            <v>32123.721636310056</v>
          </cell>
          <cell r="L25">
            <v>22789.261560007366</v>
          </cell>
          <cell r="M25">
            <v>29198.17974499414</v>
          </cell>
          <cell r="N25">
            <v>46879.790231626539</v>
          </cell>
        </row>
        <row r="26">
          <cell r="C26">
            <v>76160.66008531324</v>
          </cell>
          <cell r="D26">
            <v>76929.425770495873</v>
          </cell>
          <cell r="E26">
            <v>46343.28063925376</v>
          </cell>
          <cell r="F26">
            <v>69654.644447522864</v>
          </cell>
          <cell r="G26">
            <v>54363.532042690422</v>
          </cell>
          <cell r="H26">
            <v>69660.606362087477</v>
          </cell>
          <cell r="I26">
            <v>52855.130368703605</v>
          </cell>
          <cell r="J26">
            <v>57846.74976185101</v>
          </cell>
          <cell r="K26">
            <v>60346.174288793758</v>
          </cell>
          <cell r="L26">
            <v>42810.878689057223</v>
          </cell>
          <cell r="M26">
            <v>54850.383269892474</v>
          </cell>
          <cell r="N26">
            <v>88066.259070746484</v>
          </cell>
        </row>
      </sheetData>
      <sheetData sheetId="26">
        <row r="7">
          <cell r="C7">
            <v>108515.59232688899</v>
          </cell>
          <cell r="D7">
            <v>109186.11860558472</v>
          </cell>
          <cell r="E7">
            <v>124058.65010120287</v>
          </cell>
          <cell r="F7">
            <v>119027.88731383004</v>
          </cell>
          <cell r="G7">
            <v>127038.63635508782</v>
          </cell>
          <cell r="H7">
            <v>122051.48316272711</v>
          </cell>
          <cell r="I7">
            <v>126529.47708009076</v>
          </cell>
          <cell r="J7">
            <v>125596.10193680914</v>
          </cell>
          <cell r="K7">
            <v>119822.41502762708</v>
          </cell>
          <cell r="L7">
            <v>126138.19845114372</v>
          </cell>
          <cell r="M7">
            <v>121486.08657087667</v>
          </cell>
          <cell r="N7">
            <v>89422.97806813092</v>
          </cell>
        </row>
        <row r="8">
          <cell r="C8">
            <v>44298.145908784827</v>
          </cell>
          <cell r="D8">
            <v>44571.867595156502</v>
          </cell>
          <cell r="E8">
            <v>50643.120178299265</v>
          </cell>
          <cell r="F8">
            <v>48589.466328111448</v>
          </cell>
          <cell r="G8">
            <v>51859.607717556399</v>
          </cell>
          <cell r="H8">
            <v>49823.756140400932</v>
          </cell>
          <cell r="I8">
            <v>51651.759136804176</v>
          </cell>
          <cell r="J8">
            <v>51270.737502971402</v>
          </cell>
          <cell r="K8">
            <v>48913.807778401198</v>
          </cell>
          <cell r="L8">
            <v>51492.03169649429</v>
          </cell>
          <cell r="M8">
            <v>49592.950408385273</v>
          </cell>
          <cell r="N8">
            <v>36504.174608634268</v>
          </cell>
        </row>
        <row r="9">
          <cell r="C9">
            <v>32406.026201728495</v>
          </cell>
          <cell r="D9">
            <v>32606.265556188315</v>
          </cell>
          <cell r="E9">
            <v>37047.651674057852</v>
          </cell>
          <cell r="F9">
            <v>35545.314293719115</v>
          </cell>
          <cell r="G9">
            <v>37937.565377272804</v>
          </cell>
          <cell r="H9">
            <v>36448.251136266452</v>
          </cell>
          <cell r="I9">
            <v>37785.515073232586</v>
          </cell>
          <cell r="J9">
            <v>37506.781126334783</v>
          </cell>
          <cell r="K9">
            <v>35782.584213729737</v>
          </cell>
          <cell r="L9">
            <v>37668.667482670317</v>
          </cell>
          <cell r="M9">
            <v>36279.406674590566</v>
          </cell>
          <cell r="N9">
            <v>26704.396190208961</v>
          </cell>
        </row>
        <row r="10">
          <cell r="C10">
            <v>262221.23954059207</v>
          </cell>
          <cell r="D10">
            <v>263841.52495924855</v>
          </cell>
          <cell r="E10">
            <v>299780.08051852317</v>
          </cell>
          <cell r="F10">
            <v>287623.55235835095</v>
          </cell>
          <cell r="G10">
            <v>306981.03360325331</v>
          </cell>
          <cell r="H10">
            <v>294929.88534116524</v>
          </cell>
          <cell r="I10">
            <v>305750.68160175357</v>
          </cell>
          <cell r="J10">
            <v>303495.23810483742</v>
          </cell>
          <cell r="K10">
            <v>289543.47960100573</v>
          </cell>
          <cell r="L10">
            <v>304805.18091481854</v>
          </cell>
          <cell r="M10">
            <v>293563.6393301732</v>
          </cell>
          <cell r="N10">
            <v>216085.114126278</v>
          </cell>
        </row>
        <row r="11">
          <cell r="C11">
            <v>197111.88414445863</v>
          </cell>
          <cell r="D11">
            <v>198329.85379589771</v>
          </cell>
          <cell r="E11">
            <v>225344.8904578014</v>
          </cell>
          <cell r="F11">
            <v>216206.81997005295</v>
          </cell>
          <cell r="G11">
            <v>230757.8517902006</v>
          </cell>
          <cell r="H11">
            <v>221698.99544352895</v>
          </cell>
          <cell r="I11">
            <v>229832.99535369911</v>
          </cell>
          <cell r="J11">
            <v>228137.57694275194</v>
          </cell>
          <cell r="K11">
            <v>217650.03058442948</v>
          </cell>
          <cell r="L11">
            <v>229122.2618441323</v>
          </cell>
          <cell r="M11">
            <v>220671.98738764721</v>
          </cell>
          <cell r="N11">
            <v>162431.32728539946</v>
          </cell>
        </row>
        <row r="12">
          <cell r="C12">
            <v>95731.563641803441</v>
          </cell>
          <cell r="D12">
            <v>96323.096413693915</v>
          </cell>
          <cell r="E12">
            <v>109443.52145914338</v>
          </cell>
          <cell r="F12">
            <v>105005.42387685829</v>
          </cell>
          <cell r="G12">
            <v>112072.44083928295</v>
          </cell>
          <cell r="H12">
            <v>107672.81528328254</v>
          </cell>
          <cell r="I12">
            <v>111623.26471175131</v>
          </cell>
          <cell r="J12">
            <v>110799.84883192478</v>
          </cell>
          <cell r="K12">
            <v>105706.34969560527</v>
          </cell>
          <cell r="L12">
            <v>111278.08192128297</v>
          </cell>
          <cell r="M12">
            <v>107174.02705704737</v>
          </cell>
          <cell r="N12">
            <v>78888.216268323711</v>
          </cell>
        </row>
        <row r="13">
          <cell r="C13">
            <v>33000.632187081312</v>
          </cell>
          <cell r="D13">
            <v>33204.545658136725</v>
          </cell>
          <cell r="E13">
            <v>37727.425099269924</v>
          </cell>
          <cell r="F13">
            <v>36197.521895438731</v>
          </cell>
          <cell r="G13">
            <v>38633.667494286979</v>
          </cell>
          <cell r="H13">
            <v>37117.026386473175</v>
          </cell>
          <cell r="I13">
            <v>38478.827276411168</v>
          </cell>
          <cell r="J13">
            <v>38194.978945166622</v>
          </cell>
          <cell r="K13">
            <v>36439.145391963313</v>
          </cell>
          <cell r="L13">
            <v>38359.835693361521</v>
          </cell>
          <cell r="M13">
            <v>36945.083861280305</v>
          </cell>
          <cell r="N13">
            <v>27194.385111130228</v>
          </cell>
        </row>
        <row r="14">
          <cell r="C14">
            <v>80569.111015306626</v>
          </cell>
          <cell r="D14">
            <v>81066.953814009481</v>
          </cell>
          <cell r="E14">
            <v>92109.299116235561</v>
          </cell>
          <cell r="F14">
            <v>88374.13003300807</v>
          </cell>
          <cell r="G14">
            <v>94321.836855421367</v>
          </cell>
          <cell r="H14">
            <v>90619.046403011089</v>
          </cell>
          <cell r="I14">
            <v>93943.803530697522</v>
          </cell>
          <cell r="J14">
            <v>93250.804451713091</v>
          </cell>
          <cell r="K14">
            <v>88964.039650649152</v>
          </cell>
          <cell r="L14">
            <v>93653.292548657395</v>
          </cell>
          <cell r="M14">
            <v>90199.258796459122</v>
          </cell>
          <cell r="N14">
            <v>66393.498784831449</v>
          </cell>
        </row>
        <row r="15">
          <cell r="C15">
            <v>50244.20576231298</v>
          </cell>
          <cell r="D15">
            <v>50554.668614640592</v>
          </cell>
          <cell r="E15">
            <v>57440.85443041996</v>
          </cell>
          <cell r="F15">
            <v>55111.542345307607</v>
          </cell>
          <cell r="G15">
            <v>58820.628887698193</v>
          </cell>
          <cell r="H15">
            <v>56511.508642468165</v>
          </cell>
          <cell r="I15">
            <v>58584.881168589964</v>
          </cell>
          <cell r="J15">
            <v>58152.715691289712</v>
          </cell>
          <cell r="K15">
            <v>55479.419560736926</v>
          </cell>
          <cell r="L15">
            <v>58403.713803406266</v>
          </cell>
          <cell r="M15">
            <v>56249.72227528262</v>
          </cell>
          <cell r="N15">
            <v>41404.063817846916</v>
          </cell>
        </row>
        <row r="16">
          <cell r="C16">
            <v>37757.480069903839</v>
          </cell>
          <cell r="D16">
            <v>37990.786473723994</v>
          </cell>
          <cell r="E16">
            <v>43165.612500966483</v>
          </cell>
          <cell r="F16">
            <v>41415.182709195658</v>
          </cell>
          <cell r="G16">
            <v>44202.484430400422</v>
          </cell>
          <cell r="H16">
            <v>42467.228388126969</v>
          </cell>
          <cell r="I16">
            <v>44025.324901839798</v>
          </cell>
          <cell r="J16">
            <v>43700.561495821261</v>
          </cell>
          <cell r="K16">
            <v>41691.634817831895</v>
          </cell>
          <cell r="L16">
            <v>43889.181378891102</v>
          </cell>
          <cell r="M16">
            <v>42270.501354798187</v>
          </cell>
          <cell r="N16">
            <v>31114.296478500346</v>
          </cell>
        </row>
        <row r="17">
          <cell r="C17">
            <v>100785.71451730239</v>
          </cell>
          <cell r="D17">
            <v>101408.47728025539</v>
          </cell>
          <cell r="E17">
            <v>115221.59557344597</v>
          </cell>
          <cell r="F17">
            <v>110549.18849147504</v>
          </cell>
          <cell r="G17">
            <v>117989.30883390349</v>
          </cell>
          <cell r="H17">
            <v>113357.4049100397</v>
          </cell>
          <cell r="I17">
            <v>117516.41843876924</v>
          </cell>
          <cell r="J17">
            <v>116649.53029199534</v>
          </cell>
          <cell r="K17">
            <v>111287.11971059065</v>
          </cell>
          <cell r="L17">
            <v>117153.01171215814</v>
          </cell>
          <cell r="M17">
            <v>112832.28314391011</v>
          </cell>
          <cell r="N17">
            <v>83053.122096154475</v>
          </cell>
        </row>
        <row r="18">
          <cell r="C18">
            <v>65703.961381486224</v>
          </cell>
          <cell r="D18">
            <v>66109.951265299242</v>
          </cell>
          <cell r="E18">
            <v>75114.963485933811</v>
          </cell>
          <cell r="F18">
            <v>72068.93999001765</v>
          </cell>
          <cell r="G18">
            <v>76919.283930066871</v>
          </cell>
          <cell r="H18">
            <v>73899.665147842999</v>
          </cell>
          <cell r="I18">
            <v>76610.998451233041</v>
          </cell>
          <cell r="J18">
            <v>76045.858980917328</v>
          </cell>
          <cell r="K18">
            <v>72550.010194809831</v>
          </cell>
          <cell r="L18">
            <v>76374.087281377448</v>
          </cell>
          <cell r="M18">
            <v>73557.329129215752</v>
          </cell>
          <cell r="N18">
            <v>54143.775761799821</v>
          </cell>
        </row>
        <row r="19">
          <cell r="C19">
            <v>117434.68210718124</v>
          </cell>
          <cell r="D19">
            <v>118160.32013481087</v>
          </cell>
          <cell r="E19">
            <v>134255.25147938394</v>
          </cell>
          <cell r="F19">
            <v>128811.0013396243</v>
          </cell>
          <cell r="G19">
            <v>137480.16811030052</v>
          </cell>
          <cell r="H19">
            <v>132083.11191582796</v>
          </cell>
          <cell r="I19">
            <v>136929.16012776946</v>
          </cell>
          <cell r="J19">
            <v>135919.06921928661</v>
          </cell>
          <cell r="K19">
            <v>129670.8327011307</v>
          </cell>
          <cell r="L19">
            <v>136505.72161151172</v>
          </cell>
          <cell r="M19">
            <v>131471.24437122271</v>
          </cell>
          <cell r="N19">
            <v>96772.811881949907</v>
          </cell>
        </row>
        <row r="20">
          <cell r="C20">
            <v>22297.724450730617</v>
          </cell>
          <cell r="D20">
            <v>22435.503823065352</v>
          </cell>
          <cell r="E20">
            <v>25491.503445452647</v>
          </cell>
          <cell r="F20">
            <v>24457.785064485626</v>
          </cell>
          <cell r="G20">
            <v>26103.829388031743</v>
          </cell>
          <cell r="H20">
            <v>25079.071882752145</v>
          </cell>
          <cell r="I20">
            <v>25999.207619196732</v>
          </cell>
          <cell r="J20">
            <v>25807.418206193659</v>
          </cell>
          <cell r="K20">
            <v>24621.04418375899</v>
          </cell>
          <cell r="L20">
            <v>25918.807900919943</v>
          </cell>
          <cell r="M20">
            <v>24962.89450086507</v>
          </cell>
          <cell r="N20">
            <v>18374.584534547448</v>
          </cell>
        </row>
        <row r="21">
          <cell r="C21">
            <v>67785.082330221077</v>
          </cell>
          <cell r="D21">
            <v>68203.931622118675</v>
          </cell>
          <cell r="E21">
            <v>77494.170474176048</v>
          </cell>
          <cell r="F21">
            <v>74351.666596036303</v>
          </cell>
          <cell r="G21">
            <v>79355.641339616501</v>
          </cell>
          <cell r="H21">
            <v>76240.378523566527</v>
          </cell>
          <cell r="I21">
            <v>79037.591162358076</v>
          </cell>
          <cell r="J21">
            <v>78454.551346828724</v>
          </cell>
          <cell r="K21">
            <v>74847.974318627341</v>
          </cell>
          <cell r="L21">
            <v>78793.176018796628</v>
          </cell>
          <cell r="M21">
            <v>75887.199282629823</v>
          </cell>
          <cell r="N21">
            <v>55858.736985024247</v>
          </cell>
        </row>
        <row r="22">
          <cell r="C22">
            <v>264005.05749665049</v>
          </cell>
          <cell r="D22">
            <v>265636.3652650938</v>
          </cell>
          <cell r="E22">
            <v>301819.40079415939</v>
          </cell>
          <cell r="F22">
            <v>289580.17516350985</v>
          </cell>
          <cell r="G22">
            <v>309069.33995429584</v>
          </cell>
          <cell r="H22">
            <v>296936.2110917854</v>
          </cell>
          <cell r="I22">
            <v>307830.61821128934</v>
          </cell>
          <cell r="J22">
            <v>305559.83156133298</v>
          </cell>
          <cell r="K22">
            <v>291513.16313570651</v>
          </cell>
          <cell r="L22">
            <v>306878.68554689217</v>
          </cell>
          <cell r="M22">
            <v>295560.67089024244</v>
          </cell>
          <cell r="N22">
            <v>217555.08088904183</v>
          </cell>
        </row>
        <row r="23">
          <cell r="C23">
            <v>116542.77312915202</v>
          </cell>
          <cell r="D23">
            <v>117262.89998188824</v>
          </cell>
          <cell r="E23">
            <v>133235.59134156583</v>
          </cell>
          <cell r="F23">
            <v>127832.68993704488</v>
          </cell>
          <cell r="G23">
            <v>136436.01493477923</v>
          </cell>
          <cell r="H23">
            <v>131079.94904051788</v>
          </cell>
          <cell r="I23">
            <v>135889.19182300157</v>
          </cell>
          <cell r="J23">
            <v>134886.77249103886</v>
          </cell>
          <cell r="K23">
            <v>128685.99093378033</v>
          </cell>
          <cell r="L23">
            <v>135468.9692954749</v>
          </cell>
          <cell r="M23">
            <v>130472.72859118809</v>
          </cell>
          <cell r="N23">
            <v>96037.828500568008</v>
          </cell>
        </row>
        <row r="24">
          <cell r="C24">
            <v>1053047.2000598379</v>
          </cell>
          <cell r="D24">
            <v>1059554.0605506331</v>
          </cell>
          <cell r="E24">
            <v>1203878.7360505771</v>
          </cell>
          <cell r="F24">
            <v>1155059.6626454412</v>
          </cell>
          <cell r="G24">
            <v>1232796.8492321125</v>
          </cell>
          <cell r="H24">
            <v>1184400.9681161081</v>
          </cell>
          <cell r="I24">
            <v>1227855.9118292644</v>
          </cell>
          <cell r="J24">
            <v>1218798.3371511726</v>
          </cell>
          <cell r="K24">
            <v>1162769.846651658</v>
          </cell>
          <cell r="L24">
            <v>1224058.9011341126</v>
          </cell>
          <cell r="M24">
            <v>1178914.297627521</v>
          </cell>
          <cell r="N24">
            <v>867770.37895156094</v>
          </cell>
        </row>
        <row r="25">
          <cell r="C25">
            <v>89190.897802922467</v>
          </cell>
          <cell r="D25">
            <v>89742.015292261407</v>
          </cell>
          <cell r="E25">
            <v>101966.01378181059</v>
          </cell>
          <cell r="F25">
            <v>97831.140257942505</v>
          </cell>
          <cell r="G25">
            <v>104415.31755212697</v>
          </cell>
          <cell r="H25">
            <v>100316.28753100858</v>
          </cell>
          <cell r="I25">
            <v>103996.83047678693</v>
          </cell>
          <cell r="J25">
            <v>103229.67282477464</v>
          </cell>
          <cell r="K25">
            <v>98484.176735035959</v>
          </cell>
          <cell r="L25">
            <v>103675.23160367977</v>
          </cell>
          <cell r="M25">
            <v>99851.578003460279</v>
          </cell>
          <cell r="N25">
            <v>73498.338138189793</v>
          </cell>
        </row>
        <row r="26">
          <cell r="C26">
            <v>134380.9526897365</v>
          </cell>
          <cell r="D26">
            <v>135211.30304034051</v>
          </cell>
          <cell r="E26">
            <v>153628.79409792795</v>
          </cell>
          <cell r="F26">
            <v>147398.91798863336</v>
          </cell>
          <cell r="G26">
            <v>157319.07844520462</v>
          </cell>
          <cell r="H26">
            <v>151143.20654671959</v>
          </cell>
          <cell r="I26">
            <v>156688.55791835897</v>
          </cell>
          <cell r="J26">
            <v>155532.70705599379</v>
          </cell>
          <cell r="K26">
            <v>148382.82628078753</v>
          </cell>
          <cell r="L26">
            <v>156204.01561621085</v>
          </cell>
          <cell r="M26">
            <v>150443.04419188015</v>
          </cell>
          <cell r="N26">
            <v>110737.49612820595</v>
          </cell>
        </row>
      </sheetData>
      <sheetData sheetId="27">
        <row r="7">
          <cell r="C7">
            <v>59001.003114284846</v>
          </cell>
        </row>
      </sheetData>
      <sheetData sheetId="28">
        <row r="7">
          <cell r="C7">
            <v>56963.546951054755</v>
          </cell>
        </row>
      </sheetData>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22.55 POE"/>
      <sheetName val="CONCENTRADO A AYUNT"/>
      <sheetName val="CONCENTRADO A EDO"/>
      <sheetName val="partrecib"/>
      <sheetName val="TRANSMUNI"/>
      <sheetName val="Hoja1"/>
      <sheetName val="X22.55 DOF"/>
      <sheetName val="CONCENTRADO"/>
      <sheetName val="FGP"/>
      <sheetName val="FFM"/>
      <sheetName val="FOFIR"/>
      <sheetName val="FOCO"/>
      <sheetName val="IEPS"/>
      <sheetName val="GAS Y DIESEL"/>
      <sheetName val="ISR"/>
      <sheetName val="Foco ISAN"/>
      <sheetName val="ISAN"/>
      <sheetName val="REPECOS E INT"/>
      <sheetName val="OTROS I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53"/>
  <sheetViews>
    <sheetView tabSelected="1" workbookViewId="0">
      <selection sqref="A1:G1"/>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978" t="s">
        <v>328</v>
      </c>
      <c r="B1" s="978"/>
      <c r="C1" s="978"/>
      <c r="D1" s="978"/>
      <c r="E1" s="978"/>
      <c r="F1" s="978"/>
      <c r="G1" s="978"/>
    </row>
    <row r="2" spans="1:18" ht="30" customHeight="1" x14ac:dyDescent="0.25">
      <c r="A2" s="979" t="s">
        <v>433</v>
      </c>
      <c r="B2" s="979"/>
      <c r="C2" s="979"/>
      <c r="D2" s="979"/>
      <c r="E2" s="979"/>
      <c r="F2" s="979"/>
      <c r="G2" s="979"/>
    </row>
    <row r="4" spans="1:18" ht="15.75" x14ac:dyDescent="0.25">
      <c r="A4" s="1"/>
      <c r="B4" s="1"/>
      <c r="C4" s="1"/>
      <c r="D4" s="1"/>
      <c r="E4" s="1"/>
    </row>
    <row r="5" spans="1:18" ht="32.25" customHeight="1" x14ac:dyDescent="0.25">
      <c r="A5" s="964" t="s">
        <v>434</v>
      </c>
      <c r="B5" s="965"/>
      <c r="C5" s="965"/>
      <c r="D5" s="965"/>
      <c r="E5" s="965"/>
      <c r="F5" s="965"/>
      <c r="G5" s="966"/>
      <c r="N5" s="1"/>
      <c r="O5" s="1"/>
      <c r="P5" s="1"/>
      <c r="Q5" s="1"/>
      <c r="R5" s="1"/>
    </row>
    <row r="6" spans="1:18" ht="30" customHeight="1" x14ac:dyDescent="0.25">
      <c r="A6" s="902" t="s">
        <v>329</v>
      </c>
      <c r="B6" s="967" t="s">
        <v>0</v>
      </c>
      <c r="C6" s="968"/>
      <c r="D6" s="967" t="s">
        <v>330</v>
      </c>
      <c r="E6" s="968"/>
      <c r="F6" s="969" t="s">
        <v>369</v>
      </c>
      <c r="G6" s="969"/>
      <c r="N6" s="2"/>
      <c r="O6" s="3"/>
      <c r="P6" s="3"/>
      <c r="Q6" s="3"/>
      <c r="R6" s="3"/>
    </row>
    <row r="7" spans="1:18" ht="15.75" customHeight="1" x14ac:dyDescent="0.25">
      <c r="A7" s="903"/>
      <c r="B7" s="967" t="s">
        <v>331</v>
      </c>
      <c r="C7" s="968"/>
      <c r="D7" s="967" t="s">
        <v>331</v>
      </c>
      <c r="E7" s="968"/>
      <c r="F7" s="970" t="s">
        <v>331</v>
      </c>
      <c r="G7" s="970"/>
      <c r="N7" s="2"/>
      <c r="O7" s="3"/>
      <c r="P7" s="3"/>
      <c r="Q7" s="3"/>
      <c r="R7" s="3"/>
    </row>
    <row r="8" spans="1:18" ht="15.75" x14ac:dyDescent="0.25">
      <c r="A8" s="876" t="s">
        <v>1</v>
      </c>
      <c r="B8" s="876" t="s">
        <v>516</v>
      </c>
      <c r="C8" s="877" t="s">
        <v>209</v>
      </c>
      <c r="D8" s="876" t="s">
        <v>2</v>
      </c>
      <c r="E8" s="878" t="s">
        <v>332</v>
      </c>
      <c r="F8" s="876" t="s">
        <v>516</v>
      </c>
      <c r="G8" s="877" t="s">
        <v>209</v>
      </c>
      <c r="N8" s="4"/>
      <c r="O8" s="4"/>
      <c r="P8" s="6"/>
      <c r="Q8" s="4"/>
      <c r="R8" s="6"/>
    </row>
    <row r="9" spans="1:18" ht="15.75" x14ac:dyDescent="0.25">
      <c r="A9" s="879" t="s">
        <v>2</v>
      </c>
      <c r="B9" s="879" t="s">
        <v>3</v>
      </c>
      <c r="C9" s="880" t="s">
        <v>368</v>
      </c>
      <c r="D9" s="879" t="s">
        <v>3</v>
      </c>
      <c r="E9" s="881" t="s">
        <v>332</v>
      </c>
      <c r="F9" s="879" t="s">
        <v>3</v>
      </c>
      <c r="G9" s="880" t="s">
        <v>368</v>
      </c>
      <c r="N9" s="4"/>
      <c r="O9" s="4"/>
      <c r="P9" s="6"/>
      <c r="Q9" s="4"/>
      <c r="R9" s="6"/>
    </row>
    <row r="10" spans="1:18" ht="15.75" x14ac:dyDescent="0.25">
      <c r="A10" s="879" t="s">
        <v>3</v>
      </c>
      <c r="B10" s="879" t="s">
        <v>3</v>
      </c>
      <c r="C10" s="880" t="s">
        <v>209</v>
      </c>
      <c r="D10" s="879" t="s">
        <v>4</v>
      </c>
      <c r="E10" s="881" t="s">
        <v>517</v>
      </c>
      <c r="F10" s="879" t="s">
        <v>3</v>
      </c>
      <c r="G10" s="880" t="s">
        <v>209</v>
      </c>
      <c r="N10" s="4"/>
      <c r="O10" s="4"/>
      <c r="P10" s="6"/>
      <c r="Q10" s="4"/>
      <c r="R10" s="6"/>
    </row>
    <row r="11" spans="1:18" ht="15.75" x14ac:dyDescent="0.25">
      <c r="A11" s="879" t="s">
        <v>4</v>
      </c>
      <c r="B11" s="879" t="s">
        <v>5</v>
      </c>
      <c r="C11" s="880" t="s">
        <v>518</v>
      </c>
      <c r="D11" s="879" t="s">
        <v>5</v>
      </c>
      <c r="E11" s="881" t="s">
        <v>173</v>
      </c>
      <c r="F11" s="879" t="s">
        <v>5</v>
      </c>
      <c r="G11" s="880" t="s">
        <v>518</v>
      </c>
      <c r="N11" s="4"/>
      <c r="O11" s="4"/>
      <c r="P11" s="6"/>
      <c r="Q11" s="4"/>
      <c r="R11" s="6"/>
    </row>
    <row r="12" spans="1:18" ht="15.75" x14ac:dyDescent="0.25">
      <c r="A12" s="879" t="s">
        <v>5</v>
      </c>
      <c r="B12" s="879" t="s">
        <v>5</v>
      </c>
      <c r="C12" s="880" t="s">
        <v>209</v>
      </c>
      <c r="D12" s="879" t="s">
        <v>6</v>
      </c>
      <c r="E12" s="881" t="s">
        <v>332</v>
      </c>
      <c r="F12" s="879" t="s">
        <v>5</v>
      </c>
      <c r="G12" s="880" t="s">
        <v>209</v>
      </c>
      <c r="N12" s="4"/>
      <c r="O12" s="4"/>
      <c r="P12" s="6"/>
      <c r="Q12" s="4"/>
      <c r="R12" s="6"/>
    </row>
    <row r="13" spans="1:18" ht="15.75" x14ac:dyDescent="0.25">
      <c r="A13" s="879" t="s">
        <v>6</v>
      </c>
      <c r="B13" s="879" t="s">
        <v>6</v>
      </c>
      <c r="C13" s="880" t="s">
        <v>336</v>
      </c>
      <c r="D13" s="879" t="s">
        <v>7</v>
      </c>
      <c r="E13" s="881" t="s">
        <v>332</v>
      </c>
      <c r="F13" s="879" t="s">
        <v>6</v>
      </c>
      <c r="G13" s="880" t="s">
        <v>336</v>
      </c>
      <c r="N13" s="4"/>
      <c r="O13" s="4"/>
      <c r="P13" s="6"/>
      <c r="Q13" s="4"/>
      <c r="R13" s="6"/>
    </row>
    <row r="14" spans="1:18" ht="15.75" x14ac:dyDescent="0.25">
      <c r="A14" s="879" t="s">
        <v>7</v>
      </c>
      <c r="B14" s="879" t="s">
        <v>7</v>
      </c>
      <c r="C14" s="880" t="s">
        <v>209</v>
      </c>
      <c r="D14" s="879" t="s">
        <v>8</v>
      </c>
      <c r="E14" s="881" t="s">
        <v>333</v>
      </c>
      <c r="F14" s="879" t="s">
        <v>7</v>
      </c>
      <c r="G14" s="880" t="s">
        <v>209</v>
      </c>
      <c r="N14" s="4"/>
      <c r="O14" s="4"/>
      <c r="P14" s="6"/>
      <c r="Q14" s="4"/>
      <c r="R14" s="6"/>
    </row>
    <row r="15" spans="1:18" ht="15.75" x14ac:dyDescent="0.25">
      <c r="A15" s="879" t="s">
        <v>8</v>
      </c>
      <c r="B15" s="879" t="s">
        <v>519</v>
      </c>
      <c r="C15" s="880" t="s">
        <v>209</v>
      </c>
      <c r="D15" s="879" t="s">
        <v>9</v>
      </c>
      <c r="E15" s="881" t="s">
        <v>332</v>
      </c>
      <c r="F15" s="879" t="s">
        <v>519</v>
      </c>
      <c r="G15" s="880" t="s">
        <v>209</v>
      </c>
      <c r="N15" s="4"/>
      <c r="O15" s="4"/>
      <c r="P15" s="6"/>
      <c r="Q15" s="4"/>
      <c r="R15" s="6"/>
    </row>
    <row r="16" spans="1:18" ht="15.75" x14ac:dyDescent="0.25">
      <c r="A16" s="879" t="s">
        <v>9</v>
      </c>
      <c r="B16" s="879" t="s">
        <v>520</v>
      </c>
      <c r="C16" s="880" t="s">
        <v>334</v>
      </c>
      <c r="D16" s="879" t="s">
        <v>10</v>
      </c>
      <c r="E16" s="881" t="s">
        <v>526</v>
      </c>
      <c r="F16" s="879" t="s">
        <v>520</v>
      </c>
      <c r="G16" s="880" t="s">
        <v>336</v>
      </c>
      <c r="N16" s="4"/>
      <c r="O16" s="4"/>
      <c r="P16" s="6"/>
      <c r="Q16" s="4"/>
      <c r="R16" s="6"/>
    </row>
    <row r="17" spans="1:18" ht="15.75" x14ac:dyDescent="0.25">
      <c r="A17" s="879" t="s">
        <v>10</v>
      </c>
      <c r="B17" s="879" t="s">
        <v>10</v>
      </c>
      <c r="C17" s="880" t="s">
        <v>209</v>
      </c>
      <c r="D17" s="879" t="s">
        <v>11</v>
      </c>
      <c r="E17" s="881" t="s">
        <v>527</v>
      </c>
      <c r="F17" s="879" t="s">
        <v>10</v>
      </c>
      <c r="G17" s="880" t="s">
        <v>209</v>
      </c>
      <c r="N17" s="4"/>
      <c r="O17" s="4"/>
      <c r="P17" s="6"/>
      <c r="Q17" s="4"/>
      <c r="R17" s="6"/>
    </row>
    <row r="18" spans="1:18" ht="15.75" x14ac:dyDescent="0.25">
      <c r="A18" s="879" t="s">
        <v>11</v>
      </c>
      <c r="B18" s="879" t="s">
        <v>12</v>
      </c>
      <c r="C18" s="880" t="s">
        <v>335</v>
      </c>
      <c r="D18" s="879" t="s">
        <v>521</v>
      </c>
      <c r="E18" s="881" t="s">
        <v>332</v>
      </c>
      <c r="F18" s="879" t="s">
        <v>12</v>
      </c>
      <c r="G18" s="880" t="s">
        <v>335</v>
      </c>
      <c r="N18" s="4"/>
      <c r="O18" s="4"/>
      <c r="P18" s="6"/>
      <c r="Q18" s="4"/>
      <c r="R18" s="6"/>
    </row>
    <row r="19" spans="1:18" ht="15.75" x14ac:dyDescent="0.25">
      <c r="A19" s="882" t="s">
        <v>12</v>
      </c>
      <c r="B19" s="886" t="s">
        <v>522</v>
      </c>
      <c r="C19" s="884" t="s">
        <v>518</v>
      </c>
      <c r="D19" s="886" t="s">
        <v>522</v>
      </c>
      <c r="E19" s="885" t="s">
        <v>526</v>
      </c>
      <c r="F19" s="883" t="s">
        <v>12</v>
      </c>
      <c r="G19" s="884" t="s">
        <v>336</v>
      </c>
      <c r="N19" s="4"/>
      <c r="O19" s="7"/>
      <c r="P19" s="6"/>
      <c r="Q19" s="7"/>
      <c r="R19" s="6"/>
    </row>
    <row r="20" spans="1:18" ht="15.75" x14ac:dyDescent="0.25">
      <c r="A20" s="5"/>
      <c r="B20" s="658"/>
      <c r="C20" s="662"/>
      <c r="D20" s="660"/>
      <c r="E20" s="662"/>
      <c r="F20" s="660"/>
      <c r="G20" s="5"/>
      <c r="N20" s="4"/>
      <c r="O20" s="7"/>
      <c r="P20" s="6"/>
      <c r="Q20" s="7"/>
      <c r="R20" s="6"/>
    </row>
    <row r="21" spans="1:18" x14ac:dyDescent="0.25">
      <c r="A21" s="5"/>
      <c r="B21" s="5"/>
      <c r="C21" s="5"/>
      <c r="D21" s="5"/>
      <c r="E21" s="5"/>
      <c r="F21" s="5"/>
      <c r="G21" s="5"/>
    </row>
    <row r="22" spans="1:18" x14ac:dyDescent="0.25">
      <c r="A22" s="980" t="s">
        <v>434</v>
      </c>
      <c r="B22" s="981"/>
      <c r="C22" s="981"/>
      <c r="D22" s="981"/>
      <c r="E22" s="981"/>
      <c r="F22" s="981"/>
      <c r="G22" s="982"/>
    </row>
    <row r="23" spans="1:18" ht="49.5" customHeight="1" x14ac:dyDescent="0.25">
      <c r="A23" s="970" t="s">
        <v>329</v>
      </c>
      <c r="B23" s="983" t="s">
        <v>337</v>
      </c>
      <c r="C23" s="983"/>
      <c r="D23" s="984" t="s">
        <v>432</v>
      </c>
      <c r="E23" s="984"/>
      <c r="F23" s="977" t="s">
        <v>338</v>
      </c>
      <c r="G23" s="977"/>
    </row>
    <row r="24" spans="1:18" ht="15.75" customHeight="1" x14ac:dyDescent="0.25">
      <c r="A24" s="974"/>
      <c r="B24" s="970" t="s">
        <v>331</v>
      </c>
      <c r="C24" s="970"/>
      <c r="D24" s="969" t="s">
        <v>331</v>
      </c>
      <c r="E24" s="969"/>
      <c r="F24" s="970" t="s">
        <v>331</v>
      </c>
      <c r="G24" s="970"/>
    </row>
    <row r="25" spans="1:18" ht="15.75" x14ac:dyDescent="0.25">
      <c r="A25" s="876" t="s">
        <v>1</v>
      </c>
      <c r="B25" s="876" t="s">
        <v>2</v>
      </c>
      <c r="C25" s="878" t="s">
        <v>332</v>
      </c>
      <c r="D25" s="876" t="s">
        <v>1</v>
      </c>
      <c r="E25" s="878" t="s">
        <v>211</v>
      </c>
      <c r="F25" s="876" t="s">
        <v>516</v>
      </c>
      <c r="G25" s="877" t="s">
        <v>209</v>
      </c>
    </row>
    <row r="26" spans="1:18" ht="15.75" x14ac:dyDescent="0.25">
      <c r="A26" s="879" t="s">
        <v>2</v>
      </c>
      <c r="B26" s="879" t="s">
        <v>3</v>
      </c>
      <c r="C26" s="881" t="s">
        <v>332</v>
      </c>
      <c r="D26" s="879" t="s">
        <v>2</v>
      </c>
      <c r="E26" s="881" t="s">
        <v>211</v>
      </c>
      <c r="F26" s="879" t="s">
        <v>3</v>
      </c>
      <c r="G26" s="880" t="s">
        <v>368</v>
      </c>
    </row>
    <row r="27" spans="1:18" ht="15.75" x14ac:dyDescent="0.25">
      <c r="A27" s="879" t="s">
        <v>3</v>
      </c>
      <c r="B27" s="879" t="s">
        <v>4</v>
      </c>
      <c r="C27" s="881" t="s">
        <v>517</v>
      </c>
      <c r="D27" s="879" t="s">
        <v>3</v>
      </c>
      <c r="E27" s="881" t="s">
        <v>211</v>
      </c>
      <c r="F27" s="879" t="s">
        <v>3</v>
      </c>
      <c r="G27" s="880" t="s">
        <v>209</v>
      </c>
    </row>
    <row r="28" spans="1:18" ht="15.75" x14ac:dyDescent="0.25">
      <c r="A28" s="879" t="s">
        <v>4</v>
      </c>
      <c r="B28" s="879" t="s">
        <v>5</v>
      </c>
      <c r="C28" s="881" t="s">
        <v>173</v>
      </c>
      <c r="D28" s="879" t="s">
        <v>4</v>
      </c>
      <c r="E28" s="881" t="s">
        <v>212</v>
      </c>
      <c r="F28" s="879" t="s">
        <v>5</v>
      </c>
      <c r="G28" s="880" t="s">
        <v>518</v>
      </c>
    </row>
    <row r="29" spans="1:18" ht="15.75" x14ac:dyDescent="0.25">
      <c r="A29" s="879" t="s">
        <v>5</v>
      </c>
      <c r="B29" s="879" t="s">
        <v>6</v>
      </c>
      <c r="C29" s="881" t="s">
        <v>332</v>
      </c>
      <c r="D29" s="879" t="s">
        <v>5</v>
      </c>
      <c r="E29" s="881" t="s">
        <v>211</v>
      </c>
      <c r="F29" s="879" t="s">
        <v>5</v>
      </c>
      <c r="G29" s="880" t="s">
        <v>209</v>
      </c>
    </row>
    <row r="30" spans="1:18" ht="15.75" x14ac:dyDescent="0.25">
      <c r="A30" s="879" t="s">
        <v>6</v>
      </c>
      <c r="B30" s="879" t="s">
        <v>7</v>
      </c>
      <c r="C30" s="881" t="s">
        <v>332</v>
      </c>
      <c r="D30" s="879" t="s">
        <v>6</v>
      </c>
      <c r="E30" s="881" t="s">
        <v>211</v>
      </c>
      <c r="F30" s="879" t="s">
        <v>6</v>
      </c>
      <c r="G30" s="880" t="s">
        <v>336</v>
      </c>
    </row>
    <row r="31" spans="1:18" ht="15.75" x14ac:dyDescent="0.25">
      <c r="A31" s="879" t="s">
        <v>7</v>
      </c>
      <c r="B31" s="879" t="s">
        <v>8</v>
      </c>
      <c r="C31" s="881" t="s">
        <v>333</v>
      </c>
      <c r="D31" s="879" t="s">
        <v>7</v>
      </c>
      <c r="E31" s="881" t="s">
        <v>212</v>
      </c>
      <c r="F31" s="879" t="s">
        <v>7</v>
      </c>
      <c r="G31" s="880" t="s">
        <v>209</v>
      </c>
    </row>
    <row r="32" spans="1:18" ht="15.75" x14ac:dyDescent="0.25">
      <c r="A32" s="879" t="s">
        <v>8</v>
      </c>
      <c r="B32" s="879" t="s">
        <v>9</v>
      </c>
      <c r="C32" s="881" t="s">
        <v>332</v>
      </c>
      <c r="D32" s="879" t="s">
        <v>8</v>
      </c>
      <c r="E32" s="881" t="s">
        <v>211</v>
      </c>
      <c r="F32" s="879" t="s">
        <v>519</v>
      </c>
      <c r="G32" s="880" t="s">
        <v>209</v>
      </c>
    </row>
    <row r="33" spans="1:10" ht="15.75" x14ac:dyDescent="0.25">
      <c r="A33" s="879" t="s">
        <v>9</v>
      </c>
      <c r="B33" s="879" t="s">
        <v>10</v>
      </c>
      <c r="C33" s="881" t="s">
        <v>526</v>
      </c>
      <c r="D33" s="879" t="s">
        <v>523</v>
      </c>
      <c r="E33" s="881" t="s">
        <v>210</v>
      </c>
      <c r="F33" s="879" t="s">
        <v>520</v>
      </c>
      <c r="G33" s="880" t="s">
        <v>334</v>
      </c>
    </row>
    <row r="34" spans="1:10" ht="15.75" x14ac:dyDescent="0.25">
      <c r="A34" s="879" t="s">
        <v>10</v>
      </c>
      <c r="B34" s="879" t="s">
        <v>11</v>
      </c>
      <c r="C34" s="881" t="s">
        <v>527</v>
      </c>
      <c r="D34" s="879" t="s">
        <v>10</v>
      </c>
      <c r="E34" s="881" t="s">
        <v>211</v>
      </c>
      <c r="F34" s="879" t="s">
        <v>10</v>
      </c>
      <c r="G34" s="880" t="s">
        <v>209</v>
      </c>
    </row>
    <row r="35" spans="1:10" ht="15.75" x14ac:dyDescent="0.25">
      <c r="A35" s="879" t="s">
        <v>11</v>
      </c>
      <c r="B35" s="879" t="s">
        <v>521</v>
      </c>
      <c r="C35" s="881" t="s">
        <v>332</v>
      </c>
      <c r="D35" s="879" t="s">
        <v>11</v>
      </c>
      <c r="E35" s="881" t="s">
        <v>211</v>
      </c>
      <c r="F35" s="879" t="s">
        <v>12</v>
      </c>
      <c r="G35" s="880" t="s">
        <v>335</v>
      </c>
    </row>
    <row r="36" spans="1:10" ht="15.75" x14ac:dyDescent="0.25">
      <c r="A36" s="882" t="s">
        <v>12</v>
      </c>
      <c r="B36" s="886" t="s">
        <v>522</v>
      </c>
      <c r="C36" s="885" t="s">
        <v>526</v>
      </c>
      <c r="D36" s="882" t="s">
        <v>12</v>
      </c>
      <c r="E36" s="885" t="s">
        <v>210</v>
      </c>
      <c r="F36" s="886" t="s">
        <v>522</v>
      </c>
      <c r="G36" s="884" t="s">
        <v>518</v>
      </c>
    </row>
    <row r="37" spans="1:10" x14ac:dyDescent="0.25">
      <c r="A37" s="5"/>
      <c r="B37" s="5"/>
      <c r="C37" s="5"/>
      <c r="D37" s="5"/>
      <c r="E37" s="5"/>
      <c r="F37" s="5"/>
      <c r="G37" s="5"/>
    </row>
    <row r="38" spans="1:10" x14ac:dyDescent="0.25">
      <c r="A38" s="5"/>
      <c r="B38" s="5"/>
      <c r="C38" s="5"/>
      <c r="D38" s="5"/>
      <c r="E38" s="5"/>
      <c r="F38" s="5"/>
      <c r="G38" s="5"/>
    </row>
    <row r="39" spans="1:10" ht="15.75" x14ac:dyDescent="0.25">
      <c r="A39" s="971" t="s">
        <v>434</v>
      </c>
      <c r="B39" s="972"/>
      <c r="C39" s="972"/>
      <c r="D39" s="972"/>
      <c r="E39" s="972"/>
      <c r="F39" s="972"/>
      <c r="G39" s="973"/>
    </row>
    <row r="40" spans="1:10" ht="49.5" customHeight="1" x14ac:dyDescent="0.25">
      <c r="A40" s="970" t="s">
        <v>329</v>
      </c>
      <c r="B40" s="975" t="s">
        <v>339</v>
      </c>
      <c r="C40" s="976"/>
      <c r="D40" s="977" t="s">
        <v>371</v>
      </c>
      <c r="E40" s="977"/>
      <c r="F40" s="969" t="s">
        <v>370</v>
      </c>
      <c r="G40" s="969"/>
      <c r="I40" s="961"/>
      <c r="J40" s="962"/>
    </row>
    <row r="41" spans="1:10" ht="15" customHeight="1" x14ac:dyDescent="0.25">
      <c r="A41" s="974"/>
      <c r="B41" s="967" t="s">
        <v>331</v>
      </c>
      <c r="C41" s="968"/>
      <c r="D41" s="970" t="s">
        <v>331</v>
      </c>
      <c r="E41" s="970"/>
      <c r="F41" s="970" t="s">
        <v>331</v>
      </c>
      <c r="G41" s="970"/>
      <c r="I41" s="963"/>
      <c r="J41" s="963"/>
    </row>
    <row r="42" spans="1:10" ht="15.75" x14ac:dyDescent="0.25">
      <c r="A42" s="876" t="s">
        <v>1</v>
      </c>
      <c r="B42" s="876" t="s">
        <v>516</v>
      </c>
      <c r="C42" s="877" t="s">
        <v>209</v>
      </c>
      <c r="D42" s="876" t="s">
        <v>1</v>
      </c>
      <c r="E42" s="878" t="s">
        <v>211</v>
      </c>
      <c r="F42" s="876" t="s">
        <v>2</v>
      </c>
      <c r="G42" s="878" t="s">
        <v>332</v>
      </c>
      <c r="I42" s="658"/>
      <c r="J42" s="659"/>
    </row>
    <row r="43" spans="1:10" ht="15.75" x14ac:dyDescent="0.25">
      <c r="A43" s="879" t="s">
        <v>2</v>
      </c>
      <c r="B43" s="879" t="s">
        <v>3</v>
      </c>
      <c r="C43" s="880" t="s">
        <v>368</v>
      </c>
      <c r="D43" s="879" t="s">
        <v>2</v>
      </c>
      <c r="E43" s="881" t="s">
        <v>211</v>
      </c>
      <c r="F43" s="879" t="s">
        <v>3</v>
      </c>
      <c r="G43" s="881" t="s">
        <v>332</v>
      </c>
      <c r="I43" s="658"/>
      <c r="J43" s="659"/>
    </row>
    <row r="44" spans="1:10" ht="15.75" x14ac:dyDescent="0.25">
      <c r="A44" s="879" t="s">
        <v>3</v>
      </c>
      <c r="B44" s="879" t="s">
        <v>3</v>
      </c>
      <c r="C44" s="880" t="s">
        <v>209</v>
      </c>
      <c r="D44" s="879" t="s">
        <v>3</v>
      </c>
      <c r="E44" s="881" t="s">
        <v>211</v>
      </c>
      <c r="F44" s="879" t="s">
        <v>4</v>
      </c>
      <c r="G44" s="881" t="s">
        <v>517</v>
      </c>
      <c r="I44" s="658"/>
      <c r="J44" s="659"/>
    </row>
    <row r="45" spans="1:10" ht="15.75" x14ac:dyDescent="0.25">
      <c r="A45" s="879" t="s">
        <v>4</v>
      </c>
      <c r="B45" s="879" t="s">
        <v>5</v>
      </c>
      <c r="C45" s="880" t="s">
        <v>518</v>
      </c>
      <c r="D45" s="879" t="s">
        <v>4</v>
      </c>
      <c r="E45" s="881" t="s">
        <v>212</v>
      </c>
      <c r="F45" s="879" t="s">
        <v>5</v>
      </c>
      <c r="G45" s="881" t="s">
        <v>173</v>
      </c>
      <c r="I45" s="658"/>
      <c r="J45" s="659"/>
    </row>
    <row r="46" spans="1:10" ht="15.75" x14ac:dyDescent="0.25">
      <c r="A46" s="879" t="s">
        <v>5</v>
      </c>
      <c r="B46" s="879" t="s">
        <v>5</v>
      </c>
      <c r="C46" s="880" t="s">
        <v>209</v>
      </c>
      <c r="D46" s="879" t="s">
        <v>5</v>
      </c>
      <c r="E46" s="881" t="s">
        <v>211</v>
      </c>
      <c r="F46" s="879" t="s">
        <v>6</v>
      </c>
      <c r="G46" s="881" t="s">
        <v>332</v>
      </c>
      <c r="I46" s="658"/>
      <c r="J46" s="659"/>
    </row>
    <row r="47" spans="1:10" ht="15.75" x14ac:dyDescent="0.25">
      <c r="A47" s="879" t="s">
        <v>6</v>
      </c>
      <c r="B47" s="879" t="s">
        <v>6</v>
      </c>
      <c r="C47" s="880" t="s">
        <v>336</v>
      </c>
      <c r="D47" s="879" t="s">
        <v>6</v>
      </c>
      <c r="E47" s="881" t="s">
        <v>211</v>
      </c>
      <c r="F47" s="879" t="s">
        <v>7</v>
      </c>
      <c r="G47" s="881" t="s">
        <v>332</v>
      </c>
      <c r="I47" s="658"/>
      <c r="J47" s="659"/>
    </row>
    <row r="48" spans="1:10" ht="15.75" x14ac:dyDescent="0.25">
      <c r="A48" s="879" t="s">
        <v>7</v>
      </c>
      <c r="B48" s="879" t="s">
        <v>7</v>
      </c>
      <c r="C48" s="880" t="s">
        <v>209</v>
      </c>
      <c r="D48" s="879" t="s">
        <v>7</v>
      </c>
      <c r="E48" s="881" t="s">
        <v>212</v>
      </c>
      <c r="F48" s="879" t="s">
        <v>8</v>
      </c>
      <c r="G48" s="881" t="s">
        <v>333</v>
      </c>
      <c r="I48" s="658"/>
      <c r="J48" s="659"/>
    </row>
    <row r="49" spans="1:10" ht="15.75" x14ac:dyDescent="0.25">
      <c r="A49" s="879" t="s">
        <v>8</v>
      </c>
      <c r="B49" s="879" t="s">
        <v>519</v>
      </c>
      <c r="C49" s="880" t="s">
        <v>209</v>
      </c>
      <c r="D49" s="879" t="s">
        <v>8</v>
      </c>
      <c r="E49" s="881" t="s">
        <v>211</v>
      </c>
      <c r="F49" s="879" t="s">
        <v>9</v>
      </c>
      <c r="G49" s="881" t="s">
        <v>332</v>
      </c>
      <c r="I49" s="658"/>
      <c r="J49" s="659"/>
    </row>
    <row r="50" spans="1:10" ht="15.75" x14ac:dyDescent="0.25">
      <c r="A50" s="879" t="s">
        <v>9</v>
      </c>
      <c r="B50" s="879" t="s">
        <v>520</v>
      </c>
      <c r="C50" s="880" t="s">
        <v>334</v>
      </c>
      <c r="D50" s="879" t="s">
        <v>523</v>
      </c>
      <c r="E50" s="881" t="s">
        <v>210</v>
      </c>
      <c r="F50" s="879" t="s">
        <v>10</v>
      </c>
      <c r="G50" s="881" t="s">
        <v>526</v>
      </c>
      <c r="I50" s="658"/>
      <c r="J50" s="660"/>
    </row>
    <row r="51" spans="1:10" ht="15.75" x14ac:dyDescent="0.25">
      <c r="A51" s="879" t="s">
        <v>10</v>
      </c>
      <c r="B51" s="879" t="s">
        <v>10</v>
      </c>
      <c r="C51" s="880" t="s">
        <v>209</v>
      </c>
      <c r="D51" s="879" t="s">
        <v>10</v>
      </c>
      <c r="E51" s="881" t="s">
        <v>211</v>
      </c>
      <c r="F51" s="879" t="s">
        <v>11</v>
      </c>
      <c r="G51" s="881" t="s">
        <v>527</v>
      </c>
      <c r="I51" s="658"/>
      <c r="J51" s="659"/>
    </row>
    <row r="52" spans="1:10" ht="15.75" x14ac:dyDescent="0.25">
      <c r="A52" s="879" t="s">
        <v>11</v>
      </c>
      <c r="B52" s="879" t="s">
        <v>12</v>
      </c>
      <c r="C52" s="880" t="s">
        <v>335</v>
      </c>
      <c r="D52" s="879" t="s">
        <v>11</v>
      </c>
      <c r="E52" s="881" t="s">
        <v>211</v>
      </c>
      <c r="F52" s="879" t="s">
        <v>521</v>
      </c>
      <c r="G52" s="881" t="s">
        <v>332</v>
      </c>
      <c r="I52" s="658"/>
      <c r="J52" s="659"/>
    </row>
    <row r="53" spans="1:10" ht="15.75" x14ac:dyDescent="0.25">
      <c r="A53" s="882" t="s">
        <v>12</v>
      </c>
      <c r="B53" s="886" t="s">
        <v>522</v>
      </c>
      <c r="C53" s="884" t="s">
        <v>518</v>
      </c>
      <c r="D53" s="882" t="s">
        <v>12</v>
      </c>
      <c r="E53" s="885" t="s">
        <v>210</v>
      </c>
      <c r="F53" s="886" t="s">
        <v>522</v>
      </c>
      <c r="G53" s="885" t="s">
        <v>526</v>
      </c>
      <c r="I53" s="661"/>
      <c r="J53" s="659"/>
    </row>
  </sheetData>
  <mergeCells count="27">
    <mergeCell ref="A1:G1"/>
    <mergeCell ref="A2:G2"/>
    <mergeCell ref="F41:G41"/>
    <mergeCell ref="A22:G22"/>
    <mergeCell ref="A23:A24"/>
    <mergeCell ref="B23:C23"/>
    <mergeCell ref="D23:E23"/>
    <mergeCell ref="F23:G23"/>
    <mergeCell ref="B24:C24"/>
    <mergeCell ref="D24:E24"/>
    <mergeCell ref="F24:G24"/>
    <mergeCell ref="I40:J40"/>
    <mergeCell ref="I41:J41"/>
    <mergeCell ref="A5:G5"/>
    <mergeCell ref="B6:C6"/>
    <mergeCell ref="D6:E6"/>
    <mergeCell ref="F6:G6"/>
    <mergeCell ref="F7:G7"/>
    <mergeCell ref="B7:C7"/>
    <mergeCell ref="D7:E7"/>
    <mergeCell ref="A39:G39"/>
    <mergeCell ref="A40:A41"/>
    <mergeCell ref="B40:C40"/>
    <mergeCell ref="D40:E40"/>
    <mergeCell ref="F40:G40"/>
    <mergeCell ref="B41:C41"/>
    <mergeCell ref="D41:E41"/>
  </mergeCells>
  <printOptions horizontalCentered="1"/>
  <pageMargins left="0.51181102362204722" right="0.47244094488188981" top="0.59055118110236227" bottom="0.43307086614173229" header="0.15748031496062992" footer="0.31496062992125984"/>
  <pageSetup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T31"/>
  <sheetViews>
    <sheetView workbookViewId="0">
      <selection activeCell="B1" sqref="B1:J1"/>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9" customWidth="1"/>
    <col min="14" max="14" width="15.85546875" customWidth="1"/>
    <col min="15" max="15" width="14.7109375" customWidth="1"/>
    <col min="16" max="16" width="15.140625" customWidth="1"/>
  </cols>
  <sheetData>
    <row r="1" spans="2:20" x14ac:dyDescent="0.25">
      <c r="B1" s="1063" t="s">
        <v>449</v>
      </c>
      <c r="C1" s="1063"/>
      <c r="D1" s="1063"/>
      <c r="E1" s="1063"/>
      <c r="F1" s="1063"/>
      <c r="G1" s="1063"/>
      <c r="H1" s="1063"/>
      <c r="I1" s="1063"/>
      <c r="J1" s="1063"/>
      <c r="K1" s="8"/>
      <c r="N1" s="153"/>
    </row>
    <row r="2" spans="2:20" x14ac:dyDescent="0.25">
      <c r="B2" s="959"/>
      <c r="C2" s="959"/>
      <c r="D2" s="959"/>
      <c r="E2" s="959"/>
      <c r="F2" s="959"/>
      <c r="G2" s="959"/>
      <c r="H2" s="959"/>
      <c r="I2" s="959"/>
      <c r="J2" s="959"/>
      <c r="K2" s="8"/>
      <c r="L2" s="57"/>
      <c r="M2" s="57"/>
    </row>
    <row r="3" spans="2:20" ht="15.75" thickBot="1" x14ac:dyDescent="0.3">
      <c r="K3" s="154"/>
      <c r="L3" s="154"/>
      <c r="M3" s="154"/>
      <c r="N3" s="154"/>
    </row>
    <row r="4" spans="2:20" ht="15" customHeight="1" x14ac:dyDescent="0.25">
      <c r="B4" s="1140" t="s">
        <v>83</v>
      </c>
      <c r="C4" s="308" t="s">
        <v>139</v>
      </c>
      <c r="D4" s="1143" t="s">
        <v>239</v>
      </c>
      <c r="E4" s="404" t="s">
        <v>140</v>
      </c>
      <c r="F4" s="1143" t="s">
        <v>240</v>
      </c>
      <c r="G4" s="404" t="s">
        <v>29</v>
      </c>
      <c r="H4" s="404" t="s">
        <v>29</v>
      </c>
      <c r="I4" s="1143" t="s">
        <v>241</v>
      </c>
      <c r="J4" s="1145" t="s">
        <v>242</v>
      </c>
      <c r="K4" s="1138"/>
      <c r="L4" s="154"/>
      <c r="M4" s="154"/>
      <c r="N4" s="154"/>
      <c r="O4" s="154"/>
      <c r="P4" s="129"/>
      <c r="Q4" s="129"/>
      <c r="R4" s="137"/>
      <c r="S4" s="137"/>
      <c r="T4" s="137"/>
    </row>
    <row r="5" spans="2:20" x14ac:dyDescent="0.25">
      <c r="B5" s="1141"/>
      <c r="C5" s="309" t="s">
        <v>33</v>
      </c>
      <c r="D5" s="1144"/>
      <c r="E5" s="307" t="s">
        <v>33</v>
      </c>
      <c r="F5" s="1144"/>
      <c r="G5" s="307" t="s">
        <v>33</v>
      </c>
      <c r="H5" s="307" t="s">
        <v>142</v>
      </c>
      <c r="I5" s="1144"/>
      <c r="J5" s="1146"/>
      <c r="K5" s="1138"/>
      <c r="L5" s="154"/>
      <c r="M5" s="154"/>
      <c r="N5" s="154"/>
      <c r="O5" s="154"/>
      <c r="P5" s="129"/>
      <c r="Q5" s="129"/>
      <c r="R5" s="137"/>
      <c r="S5" s="137"/>
      <c r="T5" s="137"/>
    </row>
    <row r="6" spans="2:20" x14ac:dyDescent="0.25">
      <c r="B6" s="1141"/>
      <c r="C6" s="423">
        <v>0.6</v>
      </c>
      <c r="D6" s="405" t="s">
        <v>44</v>
      </c>
      <c r="E6" s="405">
        <v>0.3</v>
      </c>
      <c r="F6" s="405" t="s">
        <v>44</v>
      </c>
      <c r="G6" s="405">
        <v>0.1</v>
      </c>
      <c r="H6" s="405"/>
      <c r="I6" s="405" t="s">
        <v>44</v>
      </c>
      <c r="J6" s="1146"/>
      <c r="K6" s="154"/>
      <c r="L6" s="154"/>
      <c r="M6" s="154"/>
      <c r="N6" s="154"/>
      <c r="O6" s="154"/>
      <c r="P6" s="129"/>
      <c r="Q6" s="129"/>
      <c r="R6" s="137"/>
      <c r="S6" s="137"/>
      <c r="T6" s="137"/>
    </row>
    <row r="7" spans="2:20" ht="15.75" thickBot="1" x14ac:dyDescent="0.3">
      <c r="B7" s="1142"/>
      <c r="C7" s="501" t="s">
        <v>70</v>
      </c>
      <c r="D7" s="502" t="s">
        <v>97</v>
      </c>
      <c r="E7" s="502" t="s">
        <v>71</v>
      </c>
      <c r="F7" s="502" t="s">
        <v>98</v>
      </c>
      <c r="G7" s="502" t="s">
        <v>73</v>
      </c>
      <c r="H7" s="502" t="s">
        <v>301</v>
      </c>
      <c r="I7" s="502" t="s">
        <v>74</v>
      </c>
      <c r="J7" s="503" t="s">
        <v>302</v>
      </c>
      <c r="K7" s="142"/>
      <c r="L7" s="142"/>
      <c r="M7" s="142"/>
      <c r="N7" s="142"/>
      <c r="O7" s="154"/>
      <c r="P7" s="142"/>
      <c r="Q7" s="142"/>
      <c r="R7" s="137"/>
      <c r="S7" s="137"/>
      <c r="T7" s="137"/>
    </row>
    <row r="8" spans="2:20" ht="22.5" customHeight="1" x14ac:dyDescent="0.25">
      <c r="B8" s="132" t="s">
        <v>45</v>
      </c>
      <c r="C8" s="424">
        <f>FGP!E8</f>
        <v>3.0136241193535018</v>
      </c>
      <c r="D8" s="371">
        <f t="shared" ref="D8:D27" si="0">C8*$D$28/100</f>
        <v>51230.208091069217</v>
      </c>
      <c r="E8" s="406">
        <f>FGP!K8</f>
        <v>4.8725557232012191</v>
      </c>
      <c r="F8" s="371">
        <f t="shared" ref="F8:F27" si="1">E8*$F$28/100</f>
        <v>41415.590290749155</v>
      </c>
      <c r="G8" s="406">
        <f>FGP!Q8</f>
        <v>4.7101921616142235</v>
      </c>
      <c r="H8" s="406">
        <f>G8*10%</f>
        <v>0.47101921616142239</v>
      </c>
      <c r="I8" s="371">
        <f>G8*$I$28/100</f>
        <v>13345.179261008037</v>
      </c>
      <c r="J8" s="407">
        <f t="shared" ref="J8:J27" si="2">D8+F8+I8</f>
        <v>105990.97764282642</v>
      </c>
      <c r="K8" s="126"/>
      <c r="L8" s="144"/>
      <c r="M8" s="102"/>
      <c r="N8" s="102"/>
      <c r="O8" s="144"/>
      <c r="P8" s="145"/>
      <c r="Q8" s="146"/>
      <c r="R8" s="147"/>
      <c r="S8" s="137"/>
      <c r="T8" s="137"/>
    </row>
    <row r="9" spans="2:20" ht="22.5" customHeight="1" x14ac:dyDescent="0.25">
      <c r="B9" s="132" t="s">
        <v>46</v>
      </c>
      <c r="C9" s="424">
        <f>FGP!E9</f>
        <v>1.2459367229589724</v>
      </c>
      <c r="D9" s="371">
        <f t="shared" si="0"/>
        <v>21180.344680539012</v>
      </c>
      <c r="E9" s="406">
        <f>FGP!K9</f>
        <v>5.962076313538633</v>
      </c>
      <c r="F9" s="371">
        <f t="shared" si="1"/>
        <v>50676.261886127861</v>
      </c>
      <c r="G9" s="406">
        <f>FGP!Q9</f>
        <v>6.0729212551899465</v>
      </c>
      <c r="H9" s="406">
        <f t="shared" ref="H9:H28" si="3">G9*10%</f>
        <v>0.6072921255189947</v>
      </c>
      <c r="I9" s="371">
        <f t="shared" ref="I9:I27" si="4">G9*$I$28/100</f>
        <v>17206.139369210199</v>
      </c>
      <c r="J9" s="407">
        <f t="shared" si="2"/>
        <v>89062.745935877072</v>
      </c>
      <c r="K9" s="126"/>
      <c r="L9" s="144"/>
      <c r="M9" s="171"/>
      <c r="N9" s="102"/>
      <c r="O9" s="144"/>
      <c r="P9" s="145"/>
      <c r="Q9" s="146"/>
      <c r="R9" s="147"/>
      <c r="S9" s="137"/>
      <c r="T9" s="137"/>
    </row>
    <row r="10" spans="2:20" ht="22.5" customHeight="1" x14ac:dyDescent="0.25">
      <c r="B10" s="132" t="s">
        <v>47</v>
      </c>
      <c r="C10" s="424">
        <f>FGP!E10</f>
        <v>0.93374430169912959</v>
      </c>
      <c r="D10" s="371">
        <f t="shared" si="0"/>
        <v>15873.218751036055</v>
      </c>
      <c r="E10" s="406">
        <f>FGP!K10</f>
        <v>4.1621792632482588</v>
      </c>
      <c r="F10" s="371">
        <f t="shared" si="1"/>
        <v>35377.555614713572</v>
      </c>
      <c r="G10" s="406">
        <f>FGP!Q10</f>
        <v>8.5145935597055225</v>
      </c>
      <c r="H10" s="406">
        <f t="shared" si="3"/>
        <v>0.85145935597055233</v>
      </c>
      <c r="I10" s="371">
        <f t="shared" si="4"/>
        <v>24124.021587678319</v>
      </c>
      <c r="J10" s="407">
        <f t="shared" si="2"/>
        <v>75374.795953427936</v>
      </c>
      <c r="K10" s="126"/>
      <c r="L10" s="144"/>
      <c r="M10" s="102"/>
      <c r="N10" s="102"/>
      <c r="O10" s="144"/>
      <c r="P10" s="145"/>
      <c r="Q10" s="146"/>
      <c r="R10" s="147"/>
      <c r="S10" s="137"/>
      <c r="T10" s="137"/>
    </row>
    <row r="11" spans="2:20" ht="22.5" customHeight="1" x14ac:dyDescent="0.25">
      <c r="B11" s="132" t="s">
        <v>48</v>
      </c>
      <c r="C11" s="424">
        <f>FGP!E11</f>
        <v>15.187266887691669</v>
      </c>
      <c r="D11" s="371">
        <f t="shared" si="0"/>
        <v>258176.47197420226</v>
      </c>
      <c r="E11" s="406">
        <f>FGP!K11</f>
        <v>4.6850012216928718</v>
      </c>
      <c r="F11" s="371">
        <f t="shared" si="1"/>
        <v>39821.420653105248</v>
      </c>
      <c r="G11" s="406">
        <f>FGP!Q11</f>
        <v>1.4643711386586644</v>
      </c>
      <c r="H11" s="406">
        <f t="shared" si="3"/>
        <v>0.14643711386586644</v>
      </c>
      <c r="I11" s="371">
        <f t="shared" si="4"/>
        <v>4148.9380219572658</v>
      </c>
      <c r="J11" s="407">
        <f t="shared" si="2"/>
        <v>302146.8306492648</v>
      </c>
      <c r="K11" s="126"/>
      <c r="L11" s="144"/>
      <c r="M11" s="102"/>
      <c r="N11" s="102"/>
      <c r="O11" s="144"/>
      <c r="P11" s="145"/>
      <c r="Q11" s="146"/>
      <c r="R11" s="147"/>
      <c r="S11" s="137"/>
      <c r="T11" s="137"/>
    </row>
    <row r="12" spans="2:20" ht="22.5" customHeight="1" x14ac:dyDescent="0.25">
      <c r="B12" s="132" t="s">
        <v>49</v>
      </c>
      <c r="C12" s="424">
        <f>FGP!E12</f>
        <v>6.2678071902196431</v>
      </c>
      <c r="D12" s="371">
        <f t="shared" si="0"/>
        <v>106549.80644982906</v>
      </c>
      <c r="E12" s="406">
        <f>FGP!K12</f>
        <v>7.4829469808300741</v>
      </c>
      <c r="F12" s="371">
        <f t="shared" si="1"/>
        <v>63603.308803587897</v>
      </c>
      <c r="G12" s="406">
        <f>FGP!Q12</f>
        <v>2.5646284095040652</v>
      </c>
      <c r="H12" s="406">
        <f t="shared" si="3"/>
        <v>0.25646284095040656</v>
      </c>
      <c r="I12" s="371">
        <f t="shared" si="4"/>
        <v>7266.2483160721686</v>
      </c>
      <c r="J12" s="407">
        <f t="shared" si="2"/>
        <v>177419.36356948913</v>
      </c>
      <c r="K12" s="126"/>
      <c r="L12" s="144"/>
      <c r="M12" s="102"/>
      <c r="N12" s="102"/>
      <c r="O12" s="144"/>
      <c r="P12" s="145"/>
      <c r="Q12" s="146"/>
      <c r="R12" s="147"/>
      <c r="S12" s="137"/>
      <c r="T12" s="137"/>
    </row>
    <row r="13" spans="2:20" ht="22.5" customHeight="1" x14ac:dyDescent="0.25">
      <c r="B13" s="132" t="s">
        <v>50</v>
      </c>
      <c r="C13" s="424">
        <f>FGP!E13</f>
        <v>3.8487813406547868</v>
      </c>
      <c r="D13" s="371">
        <f t="shared" si="0"/>
        <v>65427.492338051714</v>
      </c>
      <c r="E13" s="406">
        <f>FGP!K13</f>
        <v>5.9997090398989021</v>
      </c>
      <c r="F13" s="371">
        <f t="shared" si="1"/>
        <v>50996.131306817995</v>
      </c>
      <c r="G13" s="406">
        <f>FGP!Q13</f>
        <v>3.7482041847076806</v>
      </c>
      <c r="H13" s="406">
        <f t="shared" si="3"/>
        <v>0.37482041847076808</v>
      </c>
      <c r="I13" s="371">
        <f t="shared" si="4"/>
        <v>10619.621245907307</v>
      </c>
      <c r="J13" s="407">
        <f t="shared" si="2"/>
        <v>127043.24489077702</v>
      </c>
      <c r="K13" s="126"/>
      <c r="L13" s="144"/>
      <c r="M13" s="102"/>
      <c r="N13" s="102"/>
      <c r="O13" s="144"/>
      <c r="P13" s="145"/>
      <c r="Q13" s="146"/>
      <c r="R13" s="147"/>
      <c r="S13" s="137"/>
      <c r="T13" s="137"/>
    </row>
    <row r="14" spans="2:20" ht="22.5" customHeight="1" x14ac:dyDescent="0.25">
      <c r="B14" s="132" t="s">
        <v>51</v>
      </c>
      <c r="C14" s="424">
        <f>FGP!E14</f>
        <v>0.98991789266473262</v>
      </c>
      <c r="D14" s="371">
        <f t="shared" si="0"/>
        <v>16828.143665496787</v>
      </c>
      <c r="E14" s="406">
        <f>FGP!K14</f>
        <v>4.9755379541328555</v>
      </c>
      <c r="F14" s="371">
        <f t="shared" si="1"/>
        <v>42290.91530000115</v>
      </c>
      <c r="G14" s="406">
        <f>FGP!Q14</f>
        <v>7.381367717629014</v>
      </c>
      <c r="H14" s="406">
        <f t="shared" si="3"/>
        <v>0.73813677176290149</v>
      </c>
      <c r="I14" s="371">
        <f t="shared" si="4"/>
        <v>20913.302897905167</v>
      </c>
      <c r="J14" s="407">
        <f t="shared" si="2"/>
        <v>80032.361863403115</v>
      </c>
      <c r="K14" s="126"/>
      <c r="L14" s="144"/>
      <c r="M14" s="102"/>
      <c r="N14" s="102"/>
      <c r="O14" s="144"/>
      <c r="P14" s="145"/>
      <c r="Q14" s="146"/>
      <c r="R14" s="147"/>
      <c r="S14" s="137"/>
      <c r="T14" s="137"/>
    </row>
    <row r="15" spans="2:20" ht="22.5" customHeight="1" x14ac:dyDescent="0.25">
      <c r="B15" s="132" t="s">
        <v>52</v>
      </c>
      <c r="C15" s="424">
        <f>FGP!E15</f>
        <v>2.3715130283878989</v>
      </c>
      <c r="D15" s="371">
        <f t="shared" si="0"/>
        <v>40314.618254733483</v>
      </c>
      <c r="E15" s="406">
        <f>FGP!K15</f>
        <v>4.3102967745901095</v>
      </c>
      <c r="F15" s="371">
        <f t="shared" si="1"/>
        <v>36636.520008986161</v>
      </c>
      <c r="G15" s="406">
        <f>FGP!Q15</f>
        <v>5.6708649565262332</v>
      </c>
      <c r="H15" s="406">
        <f t="shared" si="3"/>
        <v>0.56708649565262337</v>
      </c>
      <c r="I15" s="371">
        <f t="shared" si="4"/>
        <v>16067.0110290947</v>
      </c>
      <c r="J15" s="407">
        <f t="shared" si="2"/>
        <v>93018.149292814356</v>
      </c>
      <c r="K15" s="126"/>
      <c r="L15" s="144"/>
      <c r="M15" s="102"/>
      <c r="N15" s="102"/>
      <c r="O15" s="144"/>
      <c r="P15" s="145"/>
      <c r="Q15" s="146"/>
      <c r="R15" s="147"/>
      <c r="S15" s="137"/>
      <c r="T15" s="137"/>
    </row>
    <row r="16" spans="2:20" ht="22.5" customHeight="1" x14ac:dyDescent="0.25">
      <c r="B16" s="132" t="s">
        <v>53</v>
      </c>
      <c r="C16" s="424">
        <f>FGP!E16</f>
        <v>1.563876010153336</v>
      </c>
      <c r="D16" s="371">
        <f t="shared" si="0"/>
        <v>26585.164657486792</v>
      </c>
      <c r="E16" s="406">
        <f>FGP!K16</f>
        <v>5.6344029002652212</v>
      </c>
      <c r="F16" s="371">
        <f t="shared" si="1"/>
        <v>47891.114090139781</v>
      </c>
      <c r="G16" s="406">
        <f>FGP!Q16</f>
        <v>5.8593087716327297</v>
      </c>
      <c r="H16" s="406">
        <f t="shared" si="3"/>
        <v>0.58593087716327297</v>
      </c>
      <c r="I16" s="371">
        <f t="shared" si="4"/>
        <v>16600.920561219307</v>
      </c>
      <c r="J16" s="407">
        <f t="shared" si="2"/>
        <v>91077.199308845884</v>
      </c>
      <c r="K16" s="126"/>
      <c r="L16" s="144"/>
      <c r="M16" s="102"/>
      <c r="N16" s="102"/>
      <c r="O16" s="144"/>
      <c r="P16" s="145"/>
      <c r="Q16" s="146"/>
      <c r="R16" s="147"/>
      <c r="S16" s="137"/>
      <c r="T16" s="137"/>
    </row>
    <row r="17" spans="2:20" ht="22.5" customHeight="1" x14ac:dyDescent="0.25">
      <c r="B17" s="132" t="s">
        <v>54</v>
      </c>
      <c r="C17" s="424">
        <f>FGP!E17</f>
        <v>1.1104401937422297</v>
      </c>
      <c r="D17" s="371">
        <f t="shared" si="0"/>
        <v>18876.966716839779</v>
      </c>
      <c r="E17" s="406">
        <f>FGP!K17</f>
        <v>5.0697759799893873</v>
      </c>
      <c r="F17" s="371">
        <f t="shared" si="1"/>
        <v>43091.916600016848</v>
      </c>
      <c r="G17" s="406">
        <f>FGP!Q17</f>
        <v>7.0419134570047959</v>
      </c>
      <c r="H17" s="406">
        <f t="shared" si="3"/>
        <v>0.70419134570047959</v>
      </c>
      <c r="I17" s="371">
        <f t="shared" si="4"/>
        <v>19951.542145156891</v>
      </c>
      <c r="J17" s="407">
        <f t="shared" si="2"/>
        <v>81920.425462013518</v>
      </c>
      <c r="K17" s="126"/>
      <c r="L17" s="144"/>
      <c r="M17" s="102"/>
      <c r="N17" s="102"/>
      <c r="O17" s="144"/>
      <c r="P17" s="145"/>
      <c r="Q17" s="146"/>
      <c r="R17" s="147"/>
      <c r="S17" s="137"/>
      <c r="T17" s="137"/>
    </row>
    <row r="18" spans="2:20" ht="22.5" customHeight="1" x14ac:dyDescent="0.25">
      <c r="B18" s="132" t="s">
        <v>55</v>
      </c>
      <c r="C18" s="424">
        <f>FGP!E18</f>
        <v>2.7169725186489848</v>
      </c>
      <c r="D18" s="371">
        <f t="shared" si="0"/>
        <v>46187.268881417076</v>
      </c>
      <c r="E18" s="406">
        <f>FGP!K18</f>
        <v>4.9434045516048108</v>
      </c>
      <c r="F18" s="371">
        <f t="shared" si="1"/>
        <v>42017.788852742196</v>
      </c>
      <c r="G18" s="406">
        <f>FGP!Q18</f>
        <v>4.9473298306740459</v>
      </c>
      <c r="H18" s="406">
        <f t="shared" si="3"/>
        <v>0.4947329830674046</v>
      </c>
      <c r="I18" s="371">
        <f t="shared" si="4"/>
        <v>14017.050937270258</v>
      </c>
      <c r="J18" s="407">
        <f t="shared" si="2"/>
        <v>102222.10867142954</v>
      </c>
      <c r="K18" s="126"/>
      <c r="L18" s="144"/>
      <c r="M18" s="102"/>
      <c r="N18" s="102"/>
      <c r="O18" s="144"/>
      <c r="P18" s="145"/>
      <c r="Q18" s="146"/>
      <c r="R18" s="147"/>
      <c r="S18" s="137"/>
      <c r="T18" s="137"/>
    </row>
    <row r="19" spans="2:20" ht="22.5" customHeight="1" x14ac:dyDescent="0.25">
      <c r="B19" s="132" t="s">
        <v>56</v>
      </c>
      <c r="C19" s="424">
        <f>FGP!E19</f>
        <v>1.9503729796933278</v>
      </c>
      <c r="D19" s="371">
        <f t="shared" si="0"/>
        <v>33155.433341276424</v>
      </c>
      <c r="E19" s="406">
        <f>FGP!K19</f>
        <v>3.9191120763110154</v>
      </c>
      <c r="F19" s="371">
        <f t="shared" si="1"/>
        <v>33311.541063174685</v>
      </c>
      <c r="G19" s="406">
        <f>FGP!Q19</f>
        <v>6.5653584694432778</v>
      </c>
      <c r="H19" s="406">
        <f t="shared" si="3"/>
        <v>0.65653584694432787</v>
      </c>
      <c r="I19" s="371">
        <f t="shared" si="4"/>
        <v>18601.339962629292</v>
      </c>
      <c r="J19" s="407">
        <f t="shared" si="2"/>
        <v>85068.314367080413</v>
      </c>
      <c r="K19" s="126"/>
      <c r="L19" s="144"/>
      <c r="M19" s="102"/>
      <c r="N19" s="102"/>
      <c r="O19" s="144"/>
      <c r="P19" s="145"/>
      <c r="Q19" s="146"/>
      <c r="R19" s="147"/>
      <c r="S19" s="137"/>
      <c r="T19" s="137"/>
    </row>
    <row r="20" spans="2:20" ht="22.5" customHeight="1" x14ac:dyDescent="0.25">
      <c r="B20" s="132" t="s">
        <v>57</v>
      </c>
      <c r="C20" s="424">
        <f>FGP!E20</f>
        <v>3.3605405615416495</v>
      </c>
      <c r="D20" s="371">
        <f t="shared" si="0"/>
        <v>57127.626222738822</v>
      </c>
      <c r="E20" s="406">
        <f>FGP!K20</f>
        <v>5.4339902031620495</v>
      </c>
      <c r="F20" s="371">
        <f t="shared" si="1"/>
        <v>46187.652780756165</v>
      </c>
      <c r="G20" s="406">
        <f>FGP!Q20</f>
        <v>4.2237655219396029</v>
      </c>
      <c r="H20" s="406">
        <f t="shared" si="3"/>
        <v>0.42237655219396031</v>
      </c>
      <c r="I20" s="371">
        <f t="shared" si="4"/>
        <v>11967.008162875409</v>
      </c>
      <c r="J20" s="407">
        <f t="shared" si="2"/>
        <v>115282.2871663704</v>
      </c>
      <c r="K20" s="126"/>
      <c r="L20" s="144"/>
      <c r="M20" s="102"/>
      <c r="N20" s="102"/>
      <c r="O20" s="144"/>
      <c r="P20" s="145"/>
      <c r="Q20" s="146"/>
      <c r="R20" s="147"/>
      <c r="S20" s="137"/>
      <c r="T20" s="137"/>
    </row>
    <row r="21" spans="2:20" ht="22.5" customHeight="1" x14ac:dyDescent="0.25">
      <c r="B21" s="132" t="s">
        <v>58</v>
      </c>
      <c r="C21" s="424">
        <f>FGP!E21</f>
        <v>0.62187564753418989</v>
      </c>
      <c r="D21" s="371">
        <f t="shared" si="0"/>
        <v>10571.596711529995</v>
      </c>
      <c r="E21" s="406">
        <f>FGP!K21</f>
        <v>5.279038290141199</v>
      </c>
      <c r="F21" s="371">
        <f t="shared" si="1"/>
        <v>44870.597561893912</v>
      </c>
      <c r="G21" s="406">
        <f>FGP!Q21</f>
        <v>7.8708918191881567</v>
      </c>
      <c r="H21" s="406">
        <f t="shared" si="3"/>
        <v>0.78708918191881572</v>
      </c>
      <c r="I21" s="371">
        <f t="shared" si="4"/>
        <v>22300.249897887399</v>
      </c>
      <c r="J21" s="407">
        <f t="shared" si="2"/>
        <v>77742.444171311305</v>
      </c>
      <c r="K21" s="126"/>
      <c r="L21" s="144"/>
      <c r="M21" s="102"/>
      <c r="N21" s="102"/>
      <c r="O21" s="144"/>
      <c r="P21" s="145"/>
      <c r="Q21" s="146"/>
      <c r="R21" s="147"/>
      <c r="S21" s="137"/>
      <c r="T21" s="137"/>
    </row>
    <row r="22" spans="2:20" ht="22.5" customHeight="1" x14ac:dyDescent="0.25">
      <c r="B22" s="132" t="s">
        <v>59</v>
      </c>
      <c r="C22" s="424">
        <f>FGP!E22</f>
        <v>2.0163405252797348</v>
      </c>
      <c r="D22" s="371">
        <f t="shared" si="0"/>
        <v>34276.85092814314</v>
      </c>
      <c r="E22" s="406">
        <f>FGP!K22</f>
        <v>5.4742051263884699</v>
      </c>
      <c r="F22" s="371">
        <f t="shared" si="1"/>
        <v>46529.470274189596</v>
      </c>
      <c r="G22" s="406">
        <f>FGP!Q22</f>
        <v>5.4003140701316221</v>
      </c>
      <c r="H22" s="406">
        <f t="shared" si="3"/>
        <v>0.54003140701316221</v>
      </c>
      <c r="I22" s="371">
        <f t="shared" si="4"/>
        <v>15300.471161022026</v>
      </c>
      <c r="J22" s="407">
        <f t="shared" si="2"/>
        <v>96106.792363354762</v>
      </c>
      <c r="K22" s="126"/>
      <c r="L22" s="144"/>
      <c r="M22" s="102"/>
      <c r="N22" s="102"/>
      <c r="O22" s="144"/>
      <c r="P22" s="145"/>
      <c r="Q22" s="146"/>
      <c r="R22" s="147"/>
      <c r="S22" s="137"/>
      <c r="T22" s="137"/>
    </row>
    <row r="23" spans="2:20" ht="22.5" customHeight="1" x14ac:dyDescent="0.25">
      <c r="B23" s="132" t="s">
        <v>60</v>
      </c>
      <c r="C23" s="424">
        <f>FGP!E23</f>
        <v>7.6069888365105687</v>
      </c>
      <c r="D23" s="371">
        <f t="shared" si="0"/>
        <v>129315.27144947294</v>
      </c>
      <c r="E23" s="406">
        <f>FGP!K23</f>
        <v>5.1119925494318093</v>
      </c>
      <c r="F23" s="371">
        <f t="shared" si="1"/>
        <v>43450.747620703383</v>
      </c>
      <c r="G23" s="406">
        <f>FGP!Q23</f>
        <v>2.5258411098034181</v>
      </c>
      <c r="H23" s="406">
        <f t="shared" si="3"/>
        <v>0.25258411098034184</v>
      </c>
      <c r="I23" s="371">
        <f t="shared" si="4"/>
        <v>7156.3539742289713</v>
      </c>
      <c r="J23" s="407">
        <f t="shared" si="2"/>
        <v>179922.37304440528</v>
      </c>
      <c r="K23" s="126"/>
      <c r="L23" s="144"/>
      <c r="M23" s="102"/>
      <c r="N23" s="102"/>
      <c r="O23" s="144"/>
      <c r="P23" s="145"/>
      <c r="Q23" s="146"/>
      <c r="R23" s="147"/>
      <c r="S23" s="137"/>
      <c r="T23" s="137"/>
    </row>
    <row r="24" spans="2:20" ht="22.5" customHeight="1" x14ac:dyDescent="0.25">
      <c r="B24" s="132" t="s">
        <v>61</v>
      </c>
      <c r="C24" s="424">
        <f>FGP!E24</f>
        <v>3.0057727673021133</v>
      </c>
      <c r="D24" s="371">
        <f t="shared" si="0"/>
        <v>51096.738758644584</v>
      </c>
      <c r="E24" s="406">
        <f>FGP!K24</f>
        <v>5.1376330875482097</v>
      </c>
      <c r="F24" s="371">
        <f t="shared" si="1"/>
        <v>43668.686230703621</v>
      </c>
      <c r="G24" s="406">
        <f>FGP!Q24</f>
        <v>4.6048388786689074</v>
      </c>
      <c r="H24" s="406">
        <f t="shared" si="3"/>
        <v>0.46048388786689076</v>
      </c>
      <c r="I24" s="371">
        <f t="shared" si="4"/>
        <v>13046.68646105418</v>
      </c>
      <c r="J24" s="407">
        <f t="shared" si="2"/>
        <v>107812.11145040239</v>
      </c>
      <c r="K24" s="126"/>
      <c r="L24" s="144"/>
      <c r="M24" s="102"/>
      <c r="N24" s="102"/>
      <c r="O24" s="144"/>
      <c r="P24" s="145"/>
      <c r="Q24" s="146"/>
      <c r="R24" s="147"/>
      <c r="S24" s="137"/>
      <c r="T24" s="137"/>
    </row>
    <row r="25" spans="2:20" ht="22.5" customHeight="1" x14ac:dyDescent="0.25">
      <c r="B25" s="132" t="s">
        <v>62</v>
      </c>
      <c r="C25" s="424">
        <f>FGP!E25</f>
        <v>34.475044032324909</v>
      </c>
      <c r="D25" s="371">
        <f t="shared" si="0"/>
        <v>586059.71075903962</v>
      </c>
      <c r="E25" s="406">
        <f>FGP!K25</f>
        <v>4.2625118041278611</v>
      </c>
      <c r="F25" s="371">
        <f t="shared" si="1"/>
        <v>36230.358874841186</v>
      </c>
      <c r="G25" s="406">
        <f>FGP!Q25</f>
        <v>0.70124775348138346</v>
      </c>
      <c r="H25" s="406">
        <f t="shared" si="3"/>
        <v>7.0124775348138352E-2</v>
      </c>
      <c r="I25" s="371">
        <f t="shared" si="4"/>
        <v>1986.8142647881</v>
      </c>
      <c r="J25" s="407">
        <f t="shared" si="2"/>
        <v>624276.88389866892</v>
      </c>
      <c r="K25" s="126"/>
      <c r="L25" s="144"/>
      <c r="M25" s="102"/>
      <c r="N25" s="102"/>
      <c r="O25" s="144"/>
      <c r="P25" s="145"/>
      <c r="Q25" s="146"/>
      <c r="R25" s="147"/>
      <c r="S25" s="137"/>
      <c r="T25" s="137"/>
    </row>
    <row r="26" spans="2:20" ht="22.5" customHeight="1" x14ac:dyDescent="0.25">
      <c r="B26" s="132" t="s">
        <v>63</v>
      </c>
      <c r="C26" s="424">
        <f>FGP!E26</f>
        <v>2.4334334852880231</v>
      </c>
      <c r="D26" s="371">
        <f t="shared" si="0"/>
        <v>41367.237216639041</v>
      </c>
      <c r="E26" s="406">
        <f>FGP!K26</f>
        <v>2.7649608812531552</v>
      </c>
      <c r="F26" s="371">
        <f t="shared" si="1"/>
        <v>23501.524360750846</v>
      </c>
      <c r="G26" s="406">
        <f>FGP!Q26</f>
        <v>6.7271133706463955</v>
      </c>
      <c r="H26" s="406">
        <f t="shared" si="3"/>
        <v>0.67271133706463959</v>
      </c>
      <c r="I26" s="371">
        <f t="shared" si="4"/>
        <v>19059.632974641452</v>
      </c>
      <c r="J26" s="407">
        <f t="shared" si="2"/>
        <v>83928.394552031343</v>
      </c>
      <c r="K26" s="126"/>
      <c r="L26" s="144"/>
      <c r="M26" s="102"/>
      <c r="N26" s="102"/>
      <c r="O26" s="144"/>
      <c r="P26" s="145"/>
      <c r="Q26" s="146"/>
      <c r="R26" s="147"/>
      <c r="S26" s="137"/>
      <c r="T26" s="137"/>
    </row>
    <row r="27" spans="2:20" ht="22.5" customHeight="1" thickBot="1" x14ac:dyDescent="0.3">
      <c r="B27" s="132" t="s">
        <v>64</v>
      </c>
      <c r="C27" s="424">
        <f>FGP!E27</f>
        <v>5.2797509583506006</v>
      </c>
      <c r="D27" s="371">
        <f t="shared" si="0"/>
        <v>89753.310151814396</v>
      </c>
      <c r="E27" s="406">
        <f>FGP!K27</f>
        <v>4.5186692786438734</v>
      </c>
      <c r="F27" s="371">
        <f t="shared" si="1"/>
        <v>38407.637825998718</v>
      </c>
      <c r="G27" s="406">
        <f>FGP!Q27</f>
        <v>3.4049335638503355</v>
      </c>
      <c r="H27" s="406">
        <f t="shared" si="3"/>
        <v>0.34049335638503359</v>
      </c>
      <c r="I27" s="371">
        <f t="shared" si="4"/>
        <v>9647.0477683936333</v>
      </c>
      <c r="J27" s="407">
        <f t="shared" si="2"/>
        <v>137807.99574620673</v>
      </c>
      <c r="K27" s="126"/>
      <c r="L27" s="144"/>
      <c r="M27" s="102"/>
      <c r="N27" s="102"/>
      <c r="O27" s="144"/>
      <c r="P27" s="145"/>
      <c r="Q27" s="146"/>
      <c r="R27" s="147"/>
      <c r="S27" s="137"/>
      <c r="T27" s="137"/>
    </row>
    <row r="28" spans="2:20" ht="15.75" thickBot="1" x14ac:dyDescent="0.3">
      <c r="B28" s="422" t="s">
        <v>65</v>
      </c>
      <c r="C28" s="425">
        <f>SUM(C8:C27)</f>
        <v>100</v>
      </c>
      <c r="D28" s="53">
        <f>Datos!K64*'FOCO ISAN'!C6</f>
        <v>1699953.4800000002</v>
      </c>
      <c r="E28" s="178">
        <f>SUM(E8:E27)</f>
        <v>99.999999999999972</v>
      </c>
      <c r="F28" s="53">
        <f>Datos!K64*'FOCO ISAN'!E6</f>
        <v>849976.74000000011</v>
      </c>
      <c r="G28" s="178">
        <v>99.999999999999972</v>
      </c>
      <c r="H28" s="179">
        <f t="shared" si="3"/>
        <v>9.9999999999999982</v>
      </c>
      <c r="I28" s="53">
        <f>Datos!K64*'FOCO ISAN'!G6</f>
        <v>283325.58</v>
      </c>
      <c r="J28" s="172">
        <f>SUM(J8:J27)</f>
        <v>2833255.8</v>
      </c>
      <c r="K28" s="177"/>
      <c r="L28" s="149"/>
      <c r="M28" s="148"/>
      <c r="N28" s="148"/>
      <c r="O28" s="149"/>
      <c r="P28" s="129"/>
      <c r="Q28" s="146"/>
      <c r="R28" s="147"/>
      <c r="S28" s="137"/>
      <c r="T28" s="137"/>
    </row>
    <row r="29" spans="2:20" x14ac:dyDescent="0.25">
      <c r="B29" s="1086" t="s">
        <v>295</v>
      </c>
      <c r="C29" s="1086"/>
      <c r="D29" s="1086"/>
      <c r="E29" s="1086"/>
      <c r="F29" s="1086"/>
      <c r="G29" s="1086"/>
      <c r="H29" s="8"/>
      <c r="I29" s="8"/>
      <c r="J29" s="8"/>
      <c r="K29" s="144"/>
      <c r="L29" s="136"/>
      <c r="M29" s="136"/>
      <c r="N29" s="137"/>
      <c r="O29" s="137"/>
      <c r="P29" s="137"/>
      <c r="Q29" s="137"/>
      <c r="R29" s="137"/>
      <c r="S29" s="137"/>
      <c r="T29" s="137"/>
    </row>
    <row r="30" spans="2:20" ht="27" customHeight="1" x14ac:dyDescent="0.25">
      <c r="B30" s="1136"/>
      <c r="C30" s="1137"/>
      <c r="D30" s="1137"/>
      <c r="E30" s="1137"/>
      <c r="F30" s="1137"/>
      <c r="G30" s="1137"/>
      <c r="H30" s="1137"/>
      <c r="I30" s="1137"/>
      <c r="J30" s="1137"/>
      <c r="K30" s="497"/>
      <c r="L30" s="497"/>
      <c r="M30" s="497"/>
      <c r="N30" s="497"/>
      <c r="O30" s="497"/>
      <c r="P30" s="497"/>
      <c r="Q30" s="497"/>
      <c r="R30" s="497"/>
      <c r="S30" s="497"/>
      <c r="T30" s="497"/>
    </row>
    <row r="31" spans="2:20" x14ac:dyDescent="0.25">
      <c r="B31" s="1084"/>
      <c r="C31" s="1084"/>
      <c r="D31" s="1084"/>
      <c r="E31" s="1084"/>
      <c r="F31" s="1084"/>
      <c r="G31" s="1084"/>
      <c r="H31" s="1084"/>
      <c r="I31" s="1084"/>
      <c r="J31" s="1084"/>
    </row>
  </sheetData>
  <mergeCells count="10">
    <mergeCell ref="B31:J31"/>
    <mergeCell ref="B29:G29"/>
    <mergeCell ref="B30:J30"/>
    <mergeCell ref="K4:K5"/>
    <mergeCell ref="B1:J1"/>
    <mergeCell ref="B4:B7"/>
    <mergeCell ref="D4:D5"/>
    <mergeCell ref="F4:F5"/>
    <mergeCell ref="I4:I5"/>
    <mergeCell ref="J4:J6"/>
  </mergeCells>
  <printOptions horizontalCentered="1"/>
  <pageMargins left="0.70866141732283472" right="0.70866141732283472" top="0.74803149606299213" bottom="0.74803149606299213" header="0.31496062992125984" footer="0.31496062992125984"/>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pageSetUpPr fitToPage="1"/>
  </sheetPr>
  <dimension ref="B1:AB34"/>
  <sheetViews>
    <sheetView zoomScale="87" zoomScaleNormal="87" workbookViewId="0">
      <selection activeCell="B1" sqref="B1:S1"/>
    </sheetView>
  </sheetViews>
  <sheetFormatPr baseColWidth="10" defaultRowHeight="15" x14ac:dyDescent="0.25"/>
  <cols>
    <col min="1" max="1" width="3.5703125" customWidth="1"/>
    <col min="2" max="2" width="23.140625" customWidth="1"/>
    <col min="3" max="3" width="16.5703125" customWidth="1"/>
    <col min="4" max="4" width="16" customWidth="1"/>
    <col min="5" max="5" width="13.28515625" customWidth="1"/>
    <col min="6" max="6" width="19.5703125" style="9" customWidth="1"/>
    <col min="7" max="7" width="17.42578125" style="9" customWidth="1"/>
    <col min="8" max="8" width="16.85546875" style="9" customWidth="1"/>
    <col min="9" max="9" width="13.140625" customWidth="1"/>
    <col min="10" max="10" width="16.5703125" customWidth="1"/>
    <col min="11" max="11" width="15" customWidth="1"/>
    <col min="12" max="12" width="19.7109375" customWidth="1"/>
    <col min="13" max="13" width="14.5703125" customWidth="1"/>
    <col min="14" max="14" width="15.28515625" customWidth="1"/>
    <col min="15" max="15" width="13.28515625" customWidth="1"/>
    <col min="16" max="16" width="13.42578125" customWidth="1"/>
    <col min="17" max="17" width="13.5703125" customWidth="1"/>
    <col min="18" max="18" width="19.7109375" customWidth="1"/>
    <col min="19" max="19" width="16.7109375" customWidth="1"/>
    <col min="20" max="20" width="14.85546875" hidden="1" customWidth="1"/>
    <col min="21" max="23" width="11.42578125" hidden="1" customWidth="1"/>
    <col min="24" max="24" width="11.42578125" customWidth="1"/>
    <col min="25" max="25" width="15.5703125" bestFit="1" customWidth="1"/>
    <col min="26" max="26" width="17.85546875" bestFit="1" customWidth="1"/>
    <col min="27" max="27" width="12.140625" bestFit="1" customWidth="1"/>
  </cols>
  <sheetData>
    <row r="1" spans="2:28" ht="15.75" x14ac:dyDescent="0.25">
      <c r="B1" s="978" t="s">
        <v>450</v>
      </c>
      <c r="C1" s="978"/>
      <c r="D1" s="978"/>
      <c r="E1" s="978"/>
      <c r="F1" s="978"/>
      <c r="G1" s="978"/>
      <c r="H1" s="978"/>
      <c r="I1" s="978"/>
      <c r="J1" s="978"/>
      <c r="K1" s="978"/>
      <c r="L1" s="978"/>
      <c r="M1" s="978"/>
      <c r="N1" s="978"/>
      <c r="O1" s="978"/>
      <c r="P1" s="978"/>
      <c r="Q1" s="978"/>
      <c r="R1" s="978"/>
      <c r="S1" s="978"/>
    </row>
    <row r="2" spans="2:28" ht="15.75" x14ac:dyDescent="0.25">
      <c r="B2" s="954"/>
      <c r="C2" s="954"/>
      <c r="D2" s="954"/>
      <c r="E2" s="954"/>
      <c r="F2" s="954"/>
      <c r="G2" s="954"/>
      <c r="H2" s="954"/>
      <c r="I2" s="954"/>
      <c r="J2" s="954"/>
      <c r="K2" s="954"/>
      <c r="L2" s="954"/>
      <c r="M2" s="954"/>
      <c r="N2" s="954"/>
      <c r="O2" s="954"/>
      <c r="P2" s="954"/>
      <c r="Q2" s="954"/>
      <c r="R2" s="954"/>
      <c r="S2" s="954"/>
    </row>
    <row r="3" spans="2:28" ht="15.75" thickBot="1" x14ac:dyDescent="0.3">
      <c r="B3" s="772"/>
      <c r="C3" s="772"/>
      <c r="D3" s="772"/>
      <c r="E3" s="772"/>
      <c r="F3" s="772"/>
      <c r="G3" s="772"/>
      <c r="H3" s="772"/>
      <c r="I3" s="9"/>
    </row>
    <row r="4" spans="2:28" ht="33.75" customHeight="1" thickBot="1" x14ac:dyDescent="0.3">
      <c r="B4" s="1140" t="s">
        <v>343</v>
      </c>
      <c r="C4" s="1147" t="s">
        <v>66</v>
      </c>
      <c r="D4" s="1148"/>
      <c r="E4" s="1148"/>
      <c r="F4" s="1149"/>
      <c r="G4" s="1147" t="s">
        <v>67</v>
      </c>
      <c r="H4" s="1148"/>
      <c r="I4" s="1148"/>
      <c r="J4" s="1148"/>
      <c r="K4" s="1148"/>
      <c r="L4" s="1149"/>
      <c r="M4" s="1150" t="s">
        <v>68</v>
      </c>
      <c r="N4" s="1151"/>
      <c r="O4" s="1151"/>
      <c r="P4" s="1151"/>
      <c r="Q4" s="1151"/>
      <c r="R4" s="1152"/>
      <c r="S4" s="773" t="s">
        <v>82</v>
      </c>
      <c r="T4" s="1036" t="s">
        <v>427</v>
      </c>
    </row>
    <row r="5" spans="2:28" ht="15" customHeight="1" x14ac:dyDescent="0.25">
      <c r="B5" s="1141"/>
      <c r="C5" s="781" t="s">
        <v>69</v>
      </c>
      <c r="D5" s="1034" t="s">
        <v>245</v>
      </c>
      <c r="E5" s="782" t="s">
        <v>138</v>
      </c>
      <c r="F5" s="1159" t="s">
        <v>395</v>
      </c>
      <c r="G5" s="1161" t="s">
        <v>258</v>
      </c>
      <c r="H5" s="1162"/>
      <c r="I5" s="1153" t="s">
        <v>429</v>
      </c>
      <c r="J5" s="1166" t="s">
        <v>77</v>
      </c>
      <c r="K5" s="782" t="s">
        <v>22</v>
      </c>
      <c r="L5" s="1159" t="s">
        <v>396</v>
      </c>
      <c r="M5" s="1034" t="s">
        <v>17</v>
      </c>
      <c r="N5" s="1153" t="s">
        <v>397</v>
      </c>
      <c r="O5" s="1153" t="s">
        <v>253</v>
      </c>
      <c r="P5" s="1153" t="s">
        <v>398</v>
      </c>
      <c r="Q5" s="1156" t="s">
        <v>204</v>
      </c>
      <c r="R5" s="1034" t="s">
        <v>399</v>
      </c>
      <c r="S5" s="1019" t="s">
        <v>451</v>
      </c>
      <c r="T5" s="1036"/>
    </row>
    <row r="6" spans="2:28" ht="15.75" thickBot="1" x14ac:dyDescent="0.3">
      <c r="B6" s="1141"/>
      <c r="C6" s="783" t="s">
        <v>366</v>
      </c>
      <c r="D6" s="1154"/>
      <c r="E6" s="784" t="s">
        <v>142</v>
      </c>
      <c r="F6" s="1160"/>
      <c r="G6" s="1163"/>
      <c r="H6" s="1164"/>
      <c r="I6" s="1165"/>
      <c r="J6" s="1167"/>
      <c r="K6" s="784" t="s">
        <v>202</v>
      </c>
      <c r="L6" s="1160"/>
      <c r="M6" s="1035"/>
      <c r="N6" s="1165"/>
      <c r="O6" s="1165"/>
      <c r="P6" s="1154"/>
      <c r="Q6" s="1157"/>
      <c r="R6" s="1035"/>
      <c r="S6" s="1019"/>
      <c r="T6" s="1036"/>
    </row>
    <row r="7" spans="2:28" x14ac:dyDescent="0.25">
      <c r="B7" s="1141"/>
      <c r="C7" s="783" t="s">
        <v>38</v>
      </c>
      <c r="D7" s="784" t="s">
        <v>37</v>
      </c>
      <c r="E7" s="785">
        <v>0.6</v>
      </c>
      <c r="F7" s="1160"/>
      <c r="G7" s="786">
        <v>2020</v>
      </c>
      <c r="H7" s="787">
        <v>2021</v>
      </c>
      <c r="I7" s="1165"/>
      <c r="J7" s="1167"/>
      <c r="K7" s="785">
        <v>0.3</v>
      </c>
      <c r="L7" s="1160"/>
      <c r="M7" s="1035"/>
      <c r="N7" s="1165"/>
      <c r="O7" s="1165"/>
      <c r="P7" s="1154"/>
      <c r="Q7" s="1157"/>
      <c r="R7" s="1035"/>
      <c r="S7" s="1019"/>
      <c r="T7" s="1036"/>
    </row>
    <row r="8" spans="2:28" ht="15.75" thickBot="1" x14ac:dyDescent="0.3">
      <c r="B8" s="1141"/>
      <c r="C8" s="788" t="s">
        <v>71</v>
      </c>
      <c r="D8" s="789" t="s">
        <v>72</v>
      </c>
      <c r="E8" s="789" t="s">
        <v>73</v>
      </c>
      <c r="F8" s="789" t="s">
        <v>100</v>
      </c>
      <c r="G8" s="789" t="s">
        <v>74</v>
      </c>
      <c r="H8" s="789" t="s">
        <v>75</v>
      </c>
      <c r="I8" s="789" t="s">
        <v>76</v>
      </c>
      <c r="J8" s="789" t="s">
        <v>102</v>
      </c>
      <c r="K8" s="789" t="s">
        <v>78</v>
      </c>
      <c r="L8" s="790" t="s">
        <v>247</v>
      </c>
      <c r="M8" s="790" t="s">
        <v>249</v>
      </c>
      <c r="N8" s="790" t="s">
        <v>250</v>
      </c>
      <c r="O8" s="790" t="s">
        <v>252</v>
      </c>
      <c r="P8" s="1155"/>
      <c r="Q8" s="791" t="s">
        <v>79</v>
      </c>
      <c r="R8" s="790" t="s">
        <v>256</v>
      </c>
      <c r="S8" s="792" t="s">
        <v>400</v>
      </c>
      <c r="T8" s="1036"/>
      <c r="V8" s="59"/>
    </row>
    <row r="9" spans="2:28" s="5" customFormat="1" ht="16.5" customHeight="1" x14ac:dyDescent="0.25">
      <c r="B9" s="793" t="s">
        <v>45</v>
      </c>
      <c r="C9" s="794">
        <f>'CENSO 2020'!C10</f>
        <v>37232</v>
      </c>
      <c r="D9" s="795">
        <f>C9/$C$29*100</f>
        <v>3.0136241193535018</v>
      </c>
      <c r="E9" s="796">
        <f>D9*0.6</f>
        <v>1.8081744716121011</v>
      </c>
      <c r="F9" s="797">
        <f>Datos!$K$78*'ISR Enaje'!E9/100</f>
        <v>632861.06506423536</v>
      </c>
      <c r="G9" s="798">
        <f>'Predial y Agua'!D9</f>
        <v>10441632</v>
      </c>
      <c r="H9" s="799">
        <f>'Predial y Agua'!G9</f>
        <v>12154053.73</v>
      </c>
      <c r="I9" s="795">
        <f>H9/G9</f>
        <v>1.1639994332303609</v>
      </c>
      <c r="J9" s="795">
        <f>I9/$I$29*100</f>
        <v>4.8725557232012191</v>
      </c>
      <c r="K9" s="795">
        <f>J9*0.3</f>
        <v>1.4617667169603656</v>
      </c>
      <c r="L9" s="800">
        <f>Datos!$K$78*'ISR Enaje'!K9/100</f>
        <v>511618.350936128</v>
      </c>
      <c r="M9" s="801">
        <f>F9+L9</f>
        <v>1144479.4160003634</v>
      </c>
      <c r="N9" s="795">
        <f>K9+E9</f>
        <v>3.2699411885724667</v>
      </c>
      <c r="O9" s="795">
        <f>MINVERSE(N9)</f>
        <v>0.30581589769709661</v>
      </c>
      <c r="P9" s="795">
        <f>O9/O$29*100</f>
        <v>4.7101921616142235</v>
      </c>
      <c r="Q9" s="795">
        <f>P9*0.1</f>
        <v>0.47101921616142239</v>
      </c>
      <c r="R9" s="802">
        <f>$R$29*P9/100</f>
        <v>164856.72565649782</v>
      </c>
      <c r="S9" s="803">
        <f>F9+L9+R9</f>
        <v>1309336.1416568612</v>
      </c>
      <c r="T9" s="73">
        <f>E9+K9+Q9</f>
        <v>3.7409604047338894</v>
      </c>
      <c r="U9" s="74"/>
      <c r="V9" s="75">
        <v>0.97425313870244945</v>
      </c>
      <c r="W9" s="75">
        <f t="shared" ref="W9:W28" si="0">I9-V9</f>
        <v>0.18974629452791147</v>
      </c>
      <c r="Y9" s="74"/>
      <c r="Z9" s="76"/>
      <c r="AA9" s="74"/>
      <c r="AB9" s="74"/>
    </row>
    <row r="10" spans="2:28" s="5" customFormat="1" ht="16.5" customHeight="1" x14ac:dyDescent="0.25">
      <c r="B10" s="793" t="s">
        <v>46</v>
      </c>
      <c r="C10" s="794">
        <f>'CENSO 2020'!C11</f>
        <v>15393</v>
      </c>
      <c r="D10" s="795">
        <f t="shared" ref="D10:D28" si="1">C10/$C$29*100</f>
        <v>1.2459367229589724</v>
      </c>
      <c r="E10" s="796">
        <f t="shared" ref="E10:E28" si="2">D10*0.6</f>
        <v>0.74756203377538344</v>
      </c>
      <c r="F10" s="797">
        <f>Datos!$K$78*'ISR Enaje'!E10/100</f>
        <v>261646.7118213842</v>
      </c>
      <c r="G10" s="798">
        <f>'Predial y Agua'!D10</f>
        <v>4832614</v>
      </c>
      <c r="H10" s="799">
        <f>'Predial y Agua'!G10</f>
        <v>6882965.5</v>
      </c>
      <c r="I10" s="795">
        <f t="shared" ref="I10:I28" si="3">H10/G10</f>
        <v>1.4242737988177827</v>
      </c>
      <c r="J10" s="795">
        <f t="shared" ref="J10:J28" si="4">I10/$I$29*100</f>
        <v>5.962076313538633</v>
      </c>
      <c r="K10" s="804">
        <f t="shared" ref="K10:K28" si="5">J10*0.3</f>
        <v>1.7886228940615898</v>
      </c>
      <c r="L10" s="800">
        <f>Datos!$K$78*'ISR Enaje'!K10/100</f>
        <v>626018.01292155648</v>
      </c>
      <c r="M10" s="805">
        <f t="shared" ref="M10:M29" si="6">F10+L10</f>
        <v>887664.72474294063</v>
      </c>
      <c r="N10" s="804">
        <f t="shared" ref="N10:N28" si="7">K10+E10</f>
        <v>2.536184927836973</v>
      </c>
      <c r="O10" s="804">
        <f t="shared" ref="O10:O28" si="8">MINVERSE(N10)</f>
        <v>0.39429301429248159</v>
      </c>
      <c r="P10" s="804">
        <f t="shared" ref="P10:P28" si="9">O10/O$29*100</f>
        <v>6.0729212551899465</v>
      </c>
      <c r="Q10" s="804">
        <f t="shared" ref="Q10:Q28" si="10">P10*0.1</f>
        <v>0.6072921255189947</v>
      </c>
      <c r="R10" s="802">
        <f t="shared" ref="R10:R28" si="11">$R$29*P10/100</f>
        <v>212552.24393164815</v>
      </c>
      <c r="S10" s="803">
        <f t="shared" ref="S10:S28" si="12">F10+L10+R10</f>
        <v>1100216.9686745887</v>
      </c>
      <c r="T10" s="73">
        <f t="shared" ref="T10:T28" si="13">E10+K10+Q10</f>
        <v>3.1434770533559675</v>
      </c>
      <c r="U10" s="74"/>
      <c r="V10" s="75">
        <v>1.0958106186784708</v>
      </c>
      <c r="W10" s="75">
        <f t="shared" si="0"/>
        <v>0.32846318013931186</v>
      </c>
      <c r="Y10" s="74"/>
      <c r="Z10" s="76"/>
      <c r="AA10" s="74"/>
      <c r="AB10" s="74"/>
    </row>
    <row r="11" spans="2:28" s="5" customFormat="1" ht="16.5" customHeight="1" x14ac:dyDescent="0.25">
      <c r="B11" s="793" t="s">
        <v>47</v>
      </c>
      <c r="C11" s="794">
        <f>'CENSO 2020'!C12</f>
        <v>11536</v>
      </c>
      <c r="D11" s="795">
        <f t="shared" si="1"/>
        <v>0.93374430169912959</v>
      </c>
      <c r="E11" s="796">
        <f t="shared" si="2"/>
        <v>0.56024658101947777</v>
      </c>
      <c r="F11" s="797">
        <f>Datos!$K$78*'ISR Enaje'!E11/100</f>
        <v>196086.30335681722</v>
      </c>
      <c r="G11" s="798">
        <f>'Predial y Agua'!D11</f>
        <v>3371752</v>
      </c>
      <c r="H11" s="799">
        <f>'Predial y Agua'!G11</f>
        <v>3352527.58</v>
      </c>
      <c r="I11" s="795">
        <f t="shared" si="3"/>
        <v>0.99429838849357843</v>
      </c>
      <c r="J11" s="795">
        <f t="shared" si="4"/>
        <v>4.1621792632482588</v>
      </c>
      <c r="K11" s="804">
        <f t="shared" si="5"/>
        <v>1.2486537789744776</v>
      </c>
      <c r="L11" s="800">
        <f>Datos!$K$78*'ISR Enaje'!K11/100</f>
        <v>437028.82264106715</v>
      </c>
      <c r="M11" s="805">
        <f t="shared" si="6"/>
        <v>633115.12599788443</v>
      </c>
      <c r="N11" s="804">
        <f t="shared" si="7"/>
        <v>1.8089003599939555</v>
      </c>
      <c r="O11" s="804">
        <f t="shared" si="8"/>
        <v>0.55282204709348481</v>
      </c>
      <c r="P11" s="804">
        <f t="shared" si="9"/>
        <v>8.5145935597055225</v>
      </c>
      <c r="Q11" s="804">
        <f t="shared" si="10"/>
        <v>0.85145935597055233</v>
      </c>
      <c r="R11" s="802">
        <f t="shared" si="11"/>
        <v>298010.77458969329</v>
      </c>
      <c r="S11" s="803">
        <f t="shared" si="12"/>
        <v>931125.90058757772</v>
      </c>
      <c r="T11" s="73">
        <f t="shared" si="13"/>
        <v>2.6603597159645078</v>
      </c>
      <c r="U11" s="74"/>
      <c r="V11" s="75">
        <v>1.0258439054458339</v>
      </c>
      <c r="W11" s="75">
        <f t="shared" si="0"/>
        <v>-3.1545516952255492E-2</v>
      </c>
      <c r="Y11" s="74"/>
      <c r="Z11" s="76"/>
      <c r="AA11" s="74"/>
      <c r="AB11" s="74"/>
    </row>
    <row r="12" spans="2:28" s="5" customFormat="1" ht="16.5" customHeight="1" x14ac:dyDescent="0.25">
      <c r="B12" s="793" t="s">
        <v>48</v>
      </c>
      <c r="C12" s="794">
        <f>'CENSO 2020'!C13</f>
        <v>187632</v>
      </c>
      <c r="D12" s="795">
        <f t="shared" si="1"/>
        <v>15.187266887691669</v>
      </c>
      <c r="E12" s="796">
        <f t="shared" si="2"/>
        <v>9.1123601326150006</v>
      </c>
      <c r="F12" s="797">
        <f>Datos!$K$78*'ISR Enaje'!E12/100</f>
        <v>3189326.0464152503</v>
      </c>
      <c r="G12" s="798">
        <f>'Predial y Agua'!D12</f>
        <v>300634231</v>
      </c>
      <c r="H12" s="799">
        <f>'Predial y Agua'!G12</f>
        <v>336468251.90999997</v>
      </c>
      <c r="I12" s="795">
        <f t="shared" si="3"/>
        <v>1.1191947463560794</v>
      </c>
      <c r="J12" s="795">
        <f t="shared" si="4"/>
        <v>4.6850012216928718</v>
      </c>
      <c r="K12" s="804">
        <f t="shared" si="5"/>
        <v>1.4055003665078616</v>
      </c>
      <c r="L12" s="800">
        <f>Datos!$K$78*'ISR Enaje'!K12/100</f>
        <v>491925.12827775156</v>
      </c>
      <c r="M12" s="805">
        <f t="shared" si="6"/>
        <v>3681251.1746930019</v>
      </c>
      <c r="N12" s="804">
        <f t="shared" si="7"/>
        <v>10.517860499122863</v>
      </c>
      <c r="O12" s="804">
        <f t="shared" si="8"/>
        <v>9.5076370340089131E-2</v>
      </c>
      <c r="P12" s="804">
        <f t="shared" si="9"/>
        <v>1.4643711386586644</v>
      </c>
      <c r="Q12" s="804">
        <f t="shared" si="10"/>
        <v>0.14643711386586644</v>
      </c>
      <c r="R12" s="802">
        <f t="shared" si="11"/>
        <v>51252.989853053252</v>
      </c>
      <c r="S12" s="803">
        <f t="shared" si="12"/>
        <v>3732504.1645460553</v>
      </c>
      <c r="T12" s="73">
        <f t="shared" si="13"/>
        <v>10.664297612988729</v>
      </c>
      <c r="U12" s="74"/>
      <c r="V12" s="75">
        <v>1.2368625473905901</v>
      </c>
      <c r="W12" s="75">
        <f t="shared" si="0"/>
        <v>-0.11766780103451069</v>
      </c>
      <c r="Y12" s="74"/>
      <c r="Z12" s="76"/>
      <c r="AA12" s="74"/>
      <c r="AB12" s="74"/>
    </row>
    <row r="13" spans="2:28" s="5" customFormat="1" ht="16.5" customHeight="1" x14ac:dyDescent="0.25">
      <c r="B13" s="793" t="s">
        <v>49</v>
      </c>
      <c r="C13" s="794">
        <f>'CENSO 2020'!C14</f>
        <v>77436</v>
      </c>
      <c r="D13" s="795">
        <f t="shared" si="1"/>
        <v>6.2678071902196431</v>
      </c>
      <c r="E13" s="796">
        <f t="shared" si="2"/>
        <v>3.7606843141317858</v>
      </c>
      <c r="F13" s="797">
        <f>Datos!$K$78*'ISR Enaje'!E13/100</f>
        <v>1316239.5099461251</v>
      </c>
      <c r="G13" s="798">
        <f>'Predial y Agua'!D13</f>
        <v>33277744</v>
      </c>
      <c r="H13" s="799">
        <f>'Predial y Agua'!G13</f>
        <v>59487059.099999994</v>
      </c>
      <c r="I13" s="795">
        <f t="shared" si="3"/>
        <v>1.7875929059373734</v>
      </c>
      <c r="J13" s="795">
        <f t="shared" si="4"/>
        <v>7.4829469808300741</v>
      </c>
      <c r="K13" s="804">
        <f t="shared" si="5"/>
        <v>2.2448840942490222</v>
      </c>
      <c r="L13" s="800">
        <f>Datos!$K$78*'ISR Enaje'!K13/100</f>
        <v>785709.43298715784</v>
      </c>
      <c r="M13" s="805">
        <f t="shared" si="6"/>
        <v>2101948.9429332828</v>
      </c>
      <c r="N13" s="804">
        <f t="shared" si="7"/>
        <v>6.0055684083808085</v>
      </c>
      <c r="O13" s="804">
        <f t="shared" si="8"/>
        <v>0.16651213207470816</v>
      </c>
      <c r="P13" s="804">
        <f t="shared" si="9"/>
        <v>2.5646284095040652</v>
      </c>
      <c r="Q13" s="804">
        <f t="shared" si="10"/>
        <v>0.25646284095040656</v>
      </c>
      <c r="R13" s="802">
        <f t="shared" si="11"/>
        <v>89761.99433264228</v>
      </c>
      <c r="S13" s="803">
        <f t="shared" si="12"/>
        <v>2191710.9372659251</v>
      </c>
      <c r="T13" s="73">
        <f t="shared" si="13"/>
        <v>6.2620312493312147</v>
      </c>
      <c r="U13" s="74"/>
      <c r="V13" s="75">
        <v>0.59920521048482089</v>
      </c>
      <c r="W13" s="75">
        <f t="shared" si="0"/>
        <v>1.1883876954525525</v>
      </c>
      <c r="Y13" s="74"/>
      <c r="Z13" s="76"/>
      <c r="AA13" s="74"/>
      <c r="AB13" s="74"/>
    </row>
    <row r="14" spans="2:28" s="5" customFormat="1" ht="16.5" customHeight="1" x14ac:dyDescent="0.25">
      <c r="B14" s="793" t="s">
        <v>50</v>
      </c>
      <c r="C14" s="794">
        <f>'CENSO 2020'!C15</f>
        <v>47550</v>
      </c>
      <c r="D14" s="795">
        <f t="shared" si="1"/>
        <v>3.8487813406547868</v>
      </c>
      <c r="E14" s="796">
        <f t="shared" si="2"/>
        <v>2.3092688043928722</v>
      </c>
      <c r="F14" s="797">
        <f>Datos!$K$78*'ISR Enaje'!E14/100</f>
        <v>808244.08153750526</v>
      </c>
      <c r="G14" s="798">
        <f>'Predial y Agua'!D14</f>
        <v>119914</v>
      </c>
      <c r="H14" s="799">
        <f>'Predial y Agua'!G14</f>
        <v>171868.4</v>
      </c>
      <c r="I14" s="795">
        <f t="shared" si="3"/>
        <v>1.4332638390846772</v>
      </c>
      <c r="J14" s="795">
        <f t="shared" si="4"/>
        <v>5.9997090398989021</v>
      </c>
      <c r="K14" s="804">
        <f t="shared" si="5"/>
        <v>1.7999127119696705</v>
      </c>
      <c r="L14" s="800">
        <f>Datos!$K$78*'ISR Enaje'!K14/100</f>
        <v>629969.4491893847</v>
      </c>
      <c r="M14" s="805">
        <f t="shared" si="6"/>
        <v>1438213.5307268901</v>
      </c>
      <c r="N14" s="804">
        <f t="shared" si="7"/>
        <v>4.1091815163625425</v>
      </c>
      <c r="O14" s="804">
        <f t="shared" si="8"/>
        <v>0.24335746571867248</v>
      </c>
      <c r="P14" s="804">
        <f t="shared" si="9"/>
        <v>3.7482041847076806</v>
      </c>
      <c r="Q14" s="804">
        <f t="shared" si="10"/>
        <v>0.37482041847076808</v>
      </c>
      <c r="R14" s="802">
        <f t="shared" si="11"/>
        <v>131187.14646476883</v>
      </c>
      <c r="S14" s="803">
        <f t="shared" si="12"/>
        <v>1569400.6771916589</v>
      </c>
      <c r="T14" s="73">
        <f t="shared" si="13"/>
        <v>4.4840019348333104</v>
      </c>
      <c r="U14" s="74"/>
      <c r="V14" s="75">
        <v>5.0856642738427809</v>
      </c>
      <c r="W14" s="75">
        <f t="shared" si="0"/>
        <v>-3.6524004347581034</v>
      </c>
      <c r="Y14" s="74"/>
      <c r="Z14" s="76"/>
      <c r="AA14" s="74"/>
      <c r="AB14" s="74"/>
    </row>
    <row r="15" spans="2:28" s="5" customFormat="1" ht="16.5" customHeight="1" x14ac:dyDescent="0.25">
      <c r="B15" s="793" t="s">
        <v>51</v>
      </c>
      <c r="C15" s="794">
        <f>'CENSO 2020'!C16</f>
        <v>12230</v>
      </c>
      <c r="D15" s="795">
        <f t="shared" si="1"/>
        <v>0.98991789266473262</v>
      </c>
      <c r="E15" s="796">
        <f t="shared" si="2"/>
        <v>0.5939507355988396</v>
      </c>
      <c r="F15" s="797">
        <f>Datos!$K$78*'ISR Enaje'!E15/100</f>
        <v>207882.75745959385</v>
      </c>
      <c r="G15" s="798">
        <f>'Predial y Agua'!D15</f>
        <v>124702</v>
      </c>
      <c r="H15" s="799">
        <f>'Predial y Agua'!G15</f>
        <v>148220.89000000001</v>
      </c>
      <c r="I15" s="795">
        <f t="shared" si="3"/>
        <v>1.1886007441741111</v>
      </c>
      <c r="J15" s="795">
        <f t="shared" si="4"/>
        <v>4.9755379541328555</v>
      </c>
      <c r="K15" s="804">
        <f t="shared" si="5"/>
        <v>1.4926613862398566</v>
      </c>
      <c r="L15" s="800">
        <f>Datos!$K$78*'ISR Enaje'!K15/100</f>
        <v>522431.48518394976</v>
      </c>
      <c r="M15" s="805">
        <f t="shared" si="6"/>
        <v>730314.24264354364</v>
      </c>
      <c r="N15" s="804">
        <f t="shared" si="7"/>
        <v>2.0866121218386962</v>
      </c>
      <c r="O15" s="804">
        <f t="shared" si="8"/>
        <v>0.47924575417438514</v>
      </c>
      <c r="P15" s="804">
        <f t="shared" si="9"/>
        <v>7.381367717629014</v>
      </c>
      <c r="Q15" s="804">
        <f t="shared" si="10"/>
        <v>0.73813677176290149</v>
      </c>
      <c r="R15" s="802">
        <f t="shared" si="11"/>
        <v>258347.8701170155</v>
      </c>
      <c r="S15" s="803">
        <f t="shared" si="12"/>
        <v>988662.11276055919</v>
      </c>
      <c r="T15" s="73">
        <f t="shared" si="13"/>
        <v>2.8247488936015976</v>
      </c>
      <c r="U15" s="74"/>
      <c r="V15" s="75">
        <v>0.76323116375625843</v>
      </c>
      <c r="W15" s="75">
        <f t="shared" si="0"/>
        <v>0.42536958041785267</v>
      </c>
      <c r="Y15" s="74"/>
      <c r="Z15" s="76"/>
      <c r="AA15" s="74"/>
      <c r="AB15" s="74"/>
    </row>
    <row r="16" spans="2:28" s="5" customFormat="1" ht="16.5" customHeight="1" x14ac:dyDescent="0.25">
      <c r="B16" s="793" t="s">
        <v>52</v>
      </c>
      <c r="C16" s="794">
        <f>'CENSO 2020'!C17</f>
        <v>29299</v>
      </c>
      <c r="D16" s="795">
        <f t="shared" si="1"/>
        <v>2.3715130283878989</v>
      </c>
      <c r="E16" s="796">
        <f t="shared" si="2"/>
        <v>1.4229078170327394</v>
      </c>
      <c r="F16" s="797">
        <f>Datos!$K$78*'ISR Enaje'!E16/100</f>
        <v>498017.73596145876</v>
      </c>
      <c r="G16" s="798">
        <f>'Predial y Agua'!D16</f>
        <v>12844378</v>
      </c>
      <c r="H16" s="799">
        <f>'Predial y Agua'!G16</f>
        <v>13225625.039999999</v>
      </c>
      <c r="I16" s="795">
        <f t="shared" si="3"/>
        <v>1.029682016521158</v>
      </c>
      <c r="J16" s="795">
        <f t="shared" si="4"/>
        <v>4.3102967745901095</v>
      </c>
      <c r="K16" s="804">
        <f t="shared" si="5"/>
        <v>1.2930890323770328</v>
      </c>
      <c r="L16" s="800">
        <f>Datos!$K$78*'ISR Enaje'!K16/100</f>
        <v>452581.16133196146</v>
      </c>
      <c r="M16" s="805">
        <f t="shared" si="6"/>
        <v>950598.89729342028</v>
      </c>
      <c r="N16" s="804">
        <f t="shared" si="7"/>
        <v>2.7159968494097724</v>
      </c>
      <c r="O16" s="804">
        <f t="shared" si="8"/>
        <v>0.36818893962167715</v>
      </c>
      <c r="P16" s="804">
        <f t="shared" si="9"/>
        <v>5.6708649565262332</v>
      </c>
      <c r="Q16" s="804">
        <f t="shared" si="10"/>
        <v>0.56708649565262337</v>
      </c>
      <c r="R16" s="802">
        <f t="shared" si="11"/>
        <v>198480.27347841818</v>
      </c>
      <c r="S16" s="803">
        <f t="shared" si="12"/>
        <v>1149079.1707718384</v>
      </c>
      <c r="T16" s="73">
        <f t="shared" si="13"/>
        <v>3.283083345062396</v>
      </c>
      <c r="U16" s="74"/>
      <c r="V16" s="75">
        <v>1.5455894402307131</v>
      </c>
      <c r="W16" s="75">
        <f t="shared" si="0"/>
        <v>-0.51590742370955511</v>
      </c>
      <c r="Y16" s="74"/>
      <c r="Z16" s="76"/>
      <c r="AA16" s="74"/>
      <c r="AB16" s="74"/>
    </row>
    <row r="17" spans="2:28" s="5" customFormat="1" ht="16.5" customHeight="1" x14ac:dyDescent="0.25">
      <c r="B17" s="793" t="s">
        <v>53</v>
      </c>
      <c r="C17" s="794">
        <f>'CENSO 2020'!C18</f>
        <v>19321</v>
      </c>
      <c r="D17" s="795">
        <f t="shared" si="1"/>
        <v>1.563876010153336</v>
      </c>
      <c r="E17" s="796">
        <f t="shared" si="2"/>
        <v>0.93832560609200155</v>
      </c>
      <c r="F17" s="797">
        <f>Datos!$K$78*'ISR Enaje'!E17/100</f>
        <v>328413.96213220054</v>
      </c>
      <c r="G17" s="798">
        <f>'Predial y Agua'!D17</f>
        <v>3780718</v>
      </c>
      <c r="H17" s="799">
        <f>'Predial y Agua'!G17</f>
        <v>5088832.29</v>
      </c>
      <c r="I17" s="795">
        <f t="shared" si="3"/>
        <v>1.3459962604986673</v>
      </c>
      <c r="J17" s="795">
        <f t="shared" si="4"/>
        <v>5.6344029002652212</v>
      </c>
      <c r="K17" s="804">
        <f t="shared" si="5"/>
        <v>1.6903208700795662</v>
      </c>
      <c r="L17" s="800">
        <f>Datos!$K$78*'ISR Enaje'!K17/100</f>
        <v>591612.30452784814</v>
      </c>
      <c r="M17" s="805">
        <f t="shared" si="6"/>
        <v>920026.26666004863</v>
      </c>
      <c r="N17" s="804">
        <f t="shared" si="7"/>
        <v>2.6286464761715678</v>
      </c>
      <c r="O17" s="804">
        <f t="shared" si="8"/>
        <v>0.38042392123281149</v>
      </c>
      <c r="P17" s="804">
        <f t="shared" si="9"/>
        <v>5.8593087716327297</v>
      </c>
      <c r="Q17" s="804">
        <f t="shared" si="10"/>
        <v>0.58593087716327297</v>
      </c>
      <c r="R17" s="802">
        <f t="shared" si="11"/>
        <v>205075.80700714554</v>
      </c>
      <c r="S17" s="803">
        <f t="shared" si="12"/>
        <v>1125102.0736671942</v>
      </c>
      <c r="T17" s="73">
        <f t="shared" si="13"/>
        <v>3.2145773533348407</v>
      </c>
      <c r="U17" s="74"/>
      <c r="V17" s="75">
        <v>1.3217513416832607</v>
      </c>
      <c r="W17" s="75">
        <f t="shared" si="0"/>
        <v>2.424491881540658E-2</v>
      </c>
      <c r="Y17" s="74"/>
      <c r="Z17" s="76"/>
      <c r="AA17" s="74"/>
      <c r="AB17" s="74"/>
    </row>
    <row r="18" spans="2:28" s="5" customFormat="1" ht="16.5" customHeight="1" x14ac:dyDescent="0.25">
      <c r="B18" s="793" t="s">
        <v>54</v>
      </c>
      <c r="C18" s="794">
        <f>'CENSO 2020'!C19</f>
        <v>13719</v>
      </c>
      <c r="D18" s="795">
        <f t="shared" si="1"/>
        <v>1.1104401937422297</v>
      </c>
      <c r="E18" s="796">
        <f t="shared" si="2"/>
        <v>0.66626411624533777</v>
      </c>
      <c r="F18" s="797">
        <f>Datos!$K$78*'ISR Enaje'!E18/100</f>
        <v>233192.44068586823</v>
      </c>
      <c r="G18" s="798">
        <f>'Predial y Agua'!D18</f>
        <v>692496</v>
      </c>
      <c r="H18" s="799">
        <f>'Predial y Agua'!G18</f>
        <v>838691.02</v>
      </c>
      <c r="I18" s="795">
        <f t="shared" si="3"/>
        <v>1.2111131616644717</v>
      </c>
      <c r="J18" s="795">
        <f t="shared" si="4"/>
        <v>5.0697759799893873</v>
      </c>
      <c r="K18" s="804">
        <f t="shared" si="5"/>
        <v>1.5209327939968162</v>
      </c>
      <c r="L18" s="800">
        <f>Datos!$K$78*'ISR Enaje'!K18/100</f>
        <v>532326.47789888573</v>
      </c>
      <c r="M18" s="805">
        <f t="shared" si="6"/>
        <v>765518.91858475399</v>
      </c>
      <c r="N18" s="804">
        <f t="shared" si="7"/>
        <v>2.1871969102421538</v>
      </c>
      <c r="O18" s="804">
        <f t="shared" si="8"/>
        <v>0.45720620549399266</v>
      </c>
      <c r="P18" s="804">
        <f t="shared" si="9"/>
        <v>7.0419134570047959</v>
      </c>
      <c r="Q18" s="804">
        <f t="shared" si="10"/>
        <v>0.70419134570047959</v>
      </c>
      <c r="R18" s="802">
        <f t="shared" si="11"/>
        <v>246466.97099516785</v>
      </c>
      <c r="S18" s="803">
        <f t="shared" si="12"/>
        <v>1011985.8895799218</v>
      </c>
      <c r="T18" s="73">
        <f t="shared" si="13"/>
        <v>2.8913882559426334</v>
      </c>
      <c r="U18" s="74"/>
      <c r="V18" s="75">
        <v>1.0641937928415424</v>
      </c>
      <c r="W18" s="75">
        <f t="shared" si="0"/>
        <v>0.14691936882292933</v>
      </c>
      <c r="Y18" s="74"/>
      <c r="Z18" s="76"/>
      <c r="AA18" s="74"/>
      <c r="AB18" s="74"/>
    </row>
    <row r="19" spans="2:28" s="5" customFormat="1" ht="16.5" customHeight="1" x14ac:dyDescent="0.25">
      <c r="B19" s="793" t="s">
        <v>55</v>
      </c>
      <c r="C19" s="794">
        <f>'CENSO 2020'!C20</f>
        <v>33567</v>
      </c>
      <c r="D19" s="795">
        <f t="shared" si="1"/>
        <v>2.7169725186489848</v>
      </c>
      <c r="E19" s="796">
        <f t="shared" si="2"/>
        <v>1.6301835111893908</v>
      </c>
      <c r="F19" s="797">
        <f>Datos!$K$78*'ISR Enaje'!E19/100</f>
        <v>570564.22891628672</v>
      </c>
      <c r="G19" s="798">
        <f>'Predial y Agua'!D19</f>
        <v>2398188</v>
      </c>
      <c r="H19" s="799">
        <f>'Predial y Agua'!G19</f>
        <v>2832078.8</v>
      </c>
      <c r="I19" s="795">
        <f t="shared" si="3"/>
        <v>1.1809244312789489</v>
      </c>
      <c r="J19" s="795">
        <f t="shared" si="4"/>
        <v>4.9434045516048108</v>
      </c>
      <c r="K19" s="804">
        <f t="shared" si="5"/>
        <v>1.4830213654814433</v>
      </c>
      <c r="L19" s="800">
        <f>Datos!$K$78*'ISR Enaje'!K19/100</f>
        <v>519057.47791850514</v>
      </c>
      <c r="M19" s="805">
        <f t="shared" si="6"/>
        <v>1089621.7068347919</v>
      </c>
      <c r="N19" s="804">
        <f t="shared" si="7"/>
        <v>3.1132048766708342</v>
      </c>
      <c r="O19" s="804">
        <f t="shared" si="8"/>
        <v>0.32121239674703622</v>
      </c>
      <c r="P19" s="804">
        <f t="shared" si="9"/>
        <v>4.9473298306740459</v>
      </c>
      <c r="Q19" s="804">
        <f t="shared" si="10"/>
        <v>0.4947329830674046</v>
      </c>
      <c r="R19" s="802">
        <f t="shared" si="11"/>
        <v>173156.54407359159</v>
      </c>
      <c r="S19" s="803">
        <f t="shared" si="12"/>
        <v>1262778.2509083836</v>
      </c>
      <c r="T19" s="73">
        <f t="shared" si="13"/>
        <v>3.607937859738239</v>
      </c>
      <c r="U19" s="74"/>
      <c r="V19" s="75">
        <v>0.85819469233584766</v>
      </c>
      <c r="W19" s="75">
        <f t="shared" si="0"/>
        <v>0.3227297389431012</v>
      </c>
      <c r="Y19" s="74"/>
      <c r="Z19" s="76"/>
      <c r="AA19" s="74"/>
      <c r="AB19" s="74"/>
    </row>
    <row r="20" spans="2:28" s="5" customFormat="1" ht="16.5" customHeight="1" x14ac:dyDescent="0.25">
      <c r="B20" s="793" t="s">
        <v>56</v>
      </c>
      <c r="C20" s="794">
        <f>'CENSO 2020'!C21</f>
        <v>24096</v>
      </c>
      <c r="D20" s="795">
        <f t="shared" si="1"/>
        <v>1.9503729796933278</v>
      </c>
      <c r="E20" s="796">
        <f t="shared" si="2"/>
        <v>1.1702237878159967</v>
      </c>
      <c r="F20" s="797">
        <f>Datos!$K$78*'ISR Enaje'!E20/100</f>
        <v>409578.3257355988</v>
      </c>
      <c r="G20" s="798">
        <f>'Predial y Agua'!D20</f>
        <v>3362045</v>
      </c>
      <c r="H20" s="799">
        <f>'Predial y Agua'!G20</f>
        <v>3147655.25</v>
      </c>
      <c r="I20" s="795">
        <f t="shared" si="3"/>
        <v>0.93623233775871528</v>
      </c>
      <c r="J20" s="795">
        <f t="shared" si="4"/>
        <v>3.9191120763110154</v>
      </c>
      <c r="K20" s="804">
        <f t="shared" si="5"/>
        <v>1.1757336228933046</v>
      </c>
      <c r="L20" s="800">
        <f>Datos!$K$78*'ISR Enaje'!K20/100</f>
        <v>411506.76801265666</v>
      </c>
      <c r="M20" s="805">
        <f t="shared" si="6"/>
        <v>821085.0937482554</v>
      </c>
      <c r="N20" s="804">
        <f t="shared" si="7"/>
        <v>2.3459574107093015</v>
      </c>
      <c r="O20" s="804">
        <f t="shared" si="8"/>
        <v>0.4262651979251616</v>
      </c>
      <c r="P20" s="804">
        <f t="shared" si="9"/>
        <v>6.5653584694432778</v>
      </c>
      <c r="Q20" s="804">
        <f t="shared" si="10"/>
        <v>0.65653584694432787</v>
      </c>
      <c r="R20" s="802">
        <f t="shared" si="11"/>
        <v>229787.54643051472</v>
      </c>
      <c r="S20" s="803">
        <f t="shared" si="12"/>
        <v>1050872.6401787701</v>
      </c>
      <c r="T20" s="73">
        <f t="shared" si="13"/>
        <v>3.0024932576536294</v>
      </c>
      <c r="U20" s="74"/>
      <c r="V20" s="75">
        <v>0.30847701853884074</v>
      </c>
      <c r="W20" s="75">
        <f t="shared" si="0"/>
        <v>0.6277553192198746</v>
      </c>
      <c r="Y20" s="74"/>
      <c r="Z20" s="76"/>
      <c r="AA20" s="74"/>
      <c r="AB20" s="74"/>
    </row>
    <row r="21" spans="2:28" s="5" customFormat="1" ht="16.5" customHeight="1" x14ac:dyDescent="0.25">
      <c r="B21" s="793" t="s">
        <v>57</v>
      </c>
      <c r="C21" s="794">
        <f>'CENSO 2020'!C22</f>
        <v>41518</v>
      </c>
      <c r="D21" s="795">
        <f t="shared" si="1"/>
        <v>3.3605405615416495</v>
      </c>
      <c r="E21" s="796">
        <f t="shared" si="2"/>
        <v>2.0163243369249897</v>
      </c>
      <c r="F21" s="797">
        <f>Datos!$K$78*'ISR Enaje'!E21/100</f>
        <v>705713.51792374637</v>
      </c>
      <c r="G21" s="798">
        <f>'Predial y Agua'!D21</f>
        <v>5040672</v>
      </c>
      <c r="H21" s="799">
        <f>'Predial y Agua'!G21</f>
        <v>6543396.5999999996</v>
      </c>
      <c r="I21" s="795">
        <f t="shared" si="3"/>
        <v>1.2981198935380043</v>
      </c>
      <c r="J21" s="795">
        <f t="shared" si="4"/>
        <v>5.4339902031620495</v>
      </c>
      <c r="K21" s="804">
        <f t="shared" si="5"/>
        <v>1.6301970609486147</v>
      </c>
      <c r="L21" s="800">
        <f>Datos!$K$78*'ISR Enaje'!K21/100</f>
        <v>570568.97133201512</v>
      </c>
      <c r="M21" s="805">
        <f t="shared" si="6"/>
        <v>1276282.4892557615</v>
      </c>
      <c r="N21" s="804">
        <f t="shared" si="7"/>
        <v>3.6465213978736042</v>
      </c>
      <c r="O21" s="804">
        <f t="shared" si="8"/>
        <v>0.27423395913242959</v>
      </c>
      <c r="P21" s="804">
        <f t="shared" si="9"/>
        <v>4.2237655219396029</v>
      </c>
      <c r="Q21" s="804">
        <f t="shared" si="10"/>
        <v>0.42237655219396031</v>
      </c>
      <c r="R21" s="802">
        <f t="shared" si="11"/>
        <v>147831.7932678861</v>
      </c>
      <c r="S21" s="803">
        <f t="shared" si="12"/>
        <v>1424114.2825236476</v>
      </c>
      <c r="T21" s="73">
        <f t="shared" si="13"/>
        <v>4.0688979500675648</v>
      </c>
      <c r="U21" s="74"/>
      <c r="V21" s="75">
        <v>0.9189459125639704</v>
      </c>
      <c r="W21" s="75">
        <f t="shared" si="0"/>
        <v>0.37917398097403388</v>
      </c>
      <c r="Y21" s="74"/>
      <c r="Z21" s="76"/>
      <c r="AA21" s="74"/>
      <c r="AB21" s="74"/>
    </row>
    <row r="22" spans="2:28" s="5" customFormat="1" ht="16.5" customHeight="1" x14ac:dyDescent="0.25">
      <c r="B22" s="793" t="s">
        <v>58</v>
      </c>
      <c r="C22" s="794">
        <f>'CENSO 2020'!C23</f>
        <v>7683</v>
      </c>
      <c r="D22" s="795">
        <f t="shared" si="1"/>
        <v>0.62187564753418989</v>
      </c>
      <c r="E22" s="796">
        <f t="shared" si="2"/>
        <v>0.37312538852051391</v>
      </c>
      <c r="F22" s="797">
        <f>Datos!$K$78*'ISR Enaje'!E22/100</f>
        <v>130593.88598217987</v>
      </c>
      <c r="G22" s="798">
        <f>'Predial y Agua'!D22</f>
        <v>1848192</v>
      </c>
      <c r="H22" s="799">
        <f>'Predial y Agua'!G22</f>
        <v>2330761.59</v>
      </c>
      <c r="I22" s="795">
        <f t="shared" si="3"/>
        <v>1.2611036028724287</v>
      </c>
      <c r="J22" s="795">
        <f t="shared" si="4"/>
        <v>5.279038290141199</v>
      </c>
      <c r="K22" s="804">
        <f t="shared" si="5"/>
        <v>1.5837114870423596</v>
      </c>
      <c r="L22" s="800">
        <f>Datos!$K$78*'ISR Enaje'!K22/100</f>
        <v>554299.02046482591</v>
      </c>
      <c r="M22" s="805">
        <f t="shared" si="6"/>
        <v>684892.90644700581</v>
      </c>
      <c r="N22" s="804">
        <f t="shared" si="7"/>
        <v>1.9568368755628736</v>
      </c>
      <c r="O22" s="804">
        <f t="shared" si="8"/>
        <v>0.51102879983920757</v>
      </c>
      <c r="P22" s="804">
        <f t="shared" si="9"/>
        <v>7.8708918191881567</v>
      </c>
      <c r="Q22" s="804">
        <f t="shared" si="10"/>
        <v>0.78708918191881572</v>
      </c>
      <c r="R22" s="802">
        <f t="shared" si="11"/>
        <v>275481.21367158549</v>
      </c>
      <c r="S22" s="803">
        <f t="shared" si="12"/>
        <v>960374.12011859124</v>
      </c>
      <c r="T22" s="73">
        <f t="shared" si="13"/>
        <v>2.7439260574816893</v>
      </c>
      <c r="U22" s="74"/>
      <c r="V22" s="75">
        <v>0.95554775379956836</v>
      </c>
      <c r="W22" s="75">
        <f t="shared" si="0"/>
        <v>0.30555584907286037</v>
      </c>
      <c r="Y22" s="74"/>
      <c r="Z22" s="76"/>
      <c r="AA22" s="74"/>
      <c r="AB22" s="74"/>
    </row>
    <row r="23" spans="2:28" s="5" customFormat="1" ht="16.5" customHeight="1" x14ac:dyDescent="0.25">
      <c r="B23" s="793" t="s">
        <v>59</v>
      </c>
      <c r="C23" s="794">
        <f>'CENSO 2020'!C24</f>
        <v>24911</v>
      </c>
      <c r="D23" s="795">
        <f t="shared" si="1"/>
        <v>2.0163405252797348</v>
      </c>
      <c r="E23" s="796">
        <f t="shared" si="2"/>
        <v>1.2098043151678408</v>
      </c>
      <c r="F23" s="797">
        <f>Datos!$K$78*'ISR Enaje'!E23/100</f>
        <v>423431.51030874433</v>
      </c>
      <c r="G23" s="798">
        <f>'Predial y Agua'!D23</f>
        <v>3282568</v>
      </c>
      <c r="H23" s="799">
        <f>'Predial y Agua'!G23</f>
        <v>4292702.12</v>
      </c>
      <c r="I23" s="795">
        <f t="shared" si="3"/>
        <v>1.3077267919506923</v>
      </c>
      <c r="J23" s="795">
        <f t="shared" si="4"/>
        <v>5.4742051263884699</v>
      </c>
      <c r="K23" s="804">
        <f t="shared" si="5"/>
        <v>1.6422615379165408</v>
      </c>
      <c r="L23" s="800">
        <f>Datos!$K$78*'ISR Enaje'!K23/100</f>
        <v>574791.53827078931</v>
      </c>
      <c r="M23" s="805">
        <f t="shared" si="6"/>
        <v>998223.04857953358</v>
      </c>
      <c r="N23" s="804">
        <f t="shared" si="7"/>
        <v>2.8520658530843814</v>
      </c>
      <c r="O23" s="804">
        <f t="shared" si="8"/>
        <v>0.35062304010917028</v>
      </c>
      <c r="P23" s="804">
        <f t="shared" si="9"/>
        <v>5.4003140701316221</v>
      </c>
      <c r="Q23" s="804">
        <f t="shared" si="10"/>
        <v>0.54003140701316221</v>
      </c>
      <c r="R23" s="802">
        <f t="shared" si="11"/>
        <v>189010.99245460678</v>
      </c>
      <c r="S23" s="803">
        <f t="shared" si="12"/>
        <v>1187234.0410341404</v>
      </c>
      <c r="T23" s="73">
        <f t="shared" si="13"/>
        <v>3.3920972600975436</v>
      </c>
      <c r="U23" s="74"/>
      <c r="V23" s="75">
        <v>1.699762368686244</v>
      </c>
      <c r="W23" s="75">
        <f t="shared" si="0"/>
        <v>-0.39203557673555167</v>
      </c>
      <c r="Y23" s="74"/>
      <c r="Z23" s="76"/>
      <c r="AA23" s="74"/>
      <c r="AB23" s="74"/>
    </row>
    <row r="24" spans="2:28" s="5" customFormat="1" ht="16.5" customHeight="1" x14ac:dyDescent="0.25">
      <c r="B24" s="793" t="s">
        <v>60</v>
      </c>
      <c r="C24" s="794">
        <f>'CENSO 2020'!C25</f>
        <v>93981</v>
      </c>
      <c r="D24" s="795">
        <f t="shared" si="1"/>
        <v>7.6069888365105687</v>
      </c>
      <c r="E24" s="796">
        <f t="shared" si="2"/>
        <v>4.5641933019063412</v>
      </c>
      <c r="F24" s="797">
        <f>Datos!$K$78*'ISR Enaje'!E24/100</f>
        <v>1597467.6556672195</v>
      </c>
      <c r="G24" s="798">
        <f>'Predial y Agua'!D24</f>
        <v>16581584</v>
      </c>
      <c r="H24" s="799">
        <f>'Predial y Agua'!G24</f>
        <v>20249401.050000001</v>
      </c>
      <c r="I24" s="795">
        <f t="shared" si="3"/>
        <v>1.2211982311219483</v>
      </c>
      <c r="J24" s="795">
        <f t="shared" si="4"/>
        <v>5.1119925494318093</v>
      </c>
      <c r="K24" s="804">
        <f t="shared" si="5"/>
        <v>1.5335977648295427</v>
      </c>
      <c r="L24" s="800">
        <f>Datos!$K$78*'ISR Enaje'!K24/100</f>
        <v>536759.21769033989</v>
      </c>
      <c r="M24" s="805">
        <f t="shared" si="6"/>
        <v>2134226.8733575596</v>
      </c>
      <c r="N24" s="804">
        <f t="shared" si="7"/>
        <v>6.0977910667358834</v>
      </c>
      <c r="O24" s="804">
        <f t="shared" si="8"/>
        <v>0.16399381170258673</v>
      </c>
      <c r="P24" s="804">
        <f t="shared" si="9"/>
        <v>2.5258411098034181</v>
      </c>
      <c r="Q24" s="804">
        <f t="shared" si="10"/>
        <v>0.25258411098034184</v>
      </c>
      <c r="R24" s="802">
        <f t="shared" si="11"/>
        <v>88404.438843119628</v>
      </c>
      <c r="S24" s="803">
        <f t="shared" si="12"/>
        <v>2222631.312200679</v>
      </c>
      <c r="T24" s="73">
        <f t="shared" si="13"/>
        <v>6.3503751777162254</v>
      </c>
      <c r="U24" s="74"/>
      <c r="V24" s="75">
        <v>1.2135546261977699</v>
      </c>
      <c r="W24" s="75">
        <f t="shared" si="0"/>
        <v>7.643604924178371E-3</v>
      </c>
      <c r="Y24" s="74"/>
      <c r="Z24" s="76"/>
      <c r="AA24" s="74"/>
      <c r="AB24" s="74"/>
    </row>
    <row r="25" spans="2:28" s="5" customFormat="1" ht="16.5" customHeight="1" x14ac:dyDescent="0.25">
      <c r="B25" s="793" t="s">
        <v>61</v>
      </c>
      <c r="C25" s="794">
        <f>'CENSO 2020'!C26</f>
        <v>37135</v>
      </c>
      <c r="D25" s="795">
        <f t="shared" si="1"/>
        <v>3.0057727673021133</v>
      </c>
      <c r="E25" s="796">
        <f t="shared" si="2"/>
        <v>1.8034636603812679</v>
      </c>
      <c r="F25" s="797">
        <f>Datos!$K$78*'ISR Enaje'!E25/100</f>
        <v>631212.28113344382</v>
      </c>
      <c r="G25" s="798">
        <f>'Predial y Agua'!D25</f>
        <v>5174485</v>
      </c>
      <c r="H25" s="799">
        <f>'Predial y Agua'!G25</f>
        <v>6350766.8900000006</v>
      </c>
      <c r="I25" s="795">
        <f t="shared" si="3"/>
        <v>1.2273234708381608</v>
      </c>
      <c r="J25" s="795">
        <f t="shared" si="4"/>
        <v>5.1376330875482097</v>
      </c>
      <c r="K25" s="804">
        <f t="shared" si="5"/>
        <v>1.5412899262644628</v>
      </c>
      <c r="L25" s="800">
        <f>Datos!$K$78*'ISR Enaje'!K25/100</f>
        <v>539451.47419256193</v>
      </c>
      <c r="M25" s="805">
        <f t="shared" si="6"/>
        <v>1170663.7553260056</v>
      </c>
      <c r="N25" s="804">
        <f t="shared" si="7"/>
        <v>3.344753586645731</v>
      </c>
      <c r="O25" s="804">
        <f t="shared" si="8"/>
        <v>0.29897568657751106</v>
      </c>
      <c r="P25" s="804">
        <f t="shared" si="9"/>
        <v>4.6048388786689074</v>
      </c>
      <c r="Q25" s="804">
        <f t="shared" si="10"/>
        <v>0.46048388786689076</v>
      </c>
      <c r="R25" s="802">
        <f t="shared" si="11"/>
        <v>161169.36075341178</v>
      </c>
      <c r="S25" s="803">
        <f t="shared" si="12"/>
        <v>1331833.1160794175</v>
      </c>
      <c r="T25" s="73">
        <f t="shared" si="13"/>
        <v>3.8052374745126216</v>
      </c>
      <c r="U25" s="74"/>
      <c r="V25" s="75">
        <v>0.93743913529070699</v>
      </c>
      <c r="W25" s="75">
        <f t="shared" si="0"/>
        <v>0.28988433554745385</v>
      </c>
      <c r="Y25" s="74"/>
      <c r="Z25" s="76"/>
      <c r="AA25" s="74"/>
      <c r="AB25" s="74"/>
    </row>
    <row r="26" spans="2:28" s="5" customFormat="1" ht="16.5" customHeight="1" x14ac:dyDescent="0.25">
      <c r="B26" s="793" t="s">
        <v>62</v>
      </c>
      <c r="C26" s="794">
        <f>'CENSO 2020'!C27</f>
        <v>425924</v>
      </c>
      <c r="D26" s="795">
        <f t="shared" si="1"/>
        <v>34.475044032324909</v>
      </c>
      <c r="E26" s="796">
        <f t="shared" si="2"/>
        <v>20.685026419394944</v>
      </c>
      <c r="F26" s="797">
        <f>Datos!$K$78*'ISR Enaje'!E26/100</f>
        <v>7239759.2467882298</v>
      </c>
      <c r="G26" s="798">
        <f>'Predial y Agua'!D26</f>
        <v>266520773</v>
      </c>
      <c r="H26" s="799">
        <f>'Predial y Agua'!G26</f>
        <v>271389232.78000003</v>
      </c>
      <c r="I26" s="795">
        <f t="shared" si="3"/>
        <v>1.0182667179192071</v>
      </c>
      <c r="J26" s="795">
        <f t="shared" si="4"/>
        <v>4.2625118041278611</v>
      </c>
      <c r="K26" s="804">
        <f t="shared" si="5"/>
        <v>1.2787535412383584</v>
      </c>
      <c r="L26" s="800">
        <f>Datos!$K$78*'ISR Enaje'!K26/100</f>
        <v>447563.73943342542</v>
      </c>
      <c r="M26" s="805">
        <f t="shared" si="6"/>
        <v>7687322.9862216553</v>
      </c>
      <c r="N26" s="804">
        <f t="shared" si="7"/>
        <v>21.963779960633303</v>
      </c>
      <c r="O26" s="804">
        <f t="shared" si="8"/>
        <v>4.5529503655215367E-2</v>
      </c>
      <c r="P26" s="804">
        <f t="shared" si="9"/>
        <v>0.70124775348138346</v>
      </c>
      <c r="Q26" s="804">
        <f t="shared" si="10"/>
        <v>7.0124775348138352E-2</v>
      </c>
      <c r="R26" s="802">
        <f t="shared" si="11"/>
        <v>24543.671371848421</v>
      </c>
      <c r="S26" s="803">
        <f t="shared" si="12"/>
        <v>7711866.6575935036</v>
      </c>
      <c r="T26" s="73">
        <f t="shared" si="13"/>
        <v>22.033904735981441</v>
      </c>
      <c r="U26" s="74"/>
      <c r="V26" s="75">
        <v>0.78971025252641724</v>
      </c>
      <c r="W26" s="75">
        <f t="shared" si="0"/>
        <v>0.22855646539278984</v>
      </c>
      <c r="Y26" s="74"/>
      <c r="Z26" s="76"/>
      <c r="AA26" s="74"/>
      <c r="AB26" s="74"/>
    </row>
    <row r="27" spans="2:28" s="5" customFormat="1" ht="16.5" customHeight="1" x14ac:dyDescent="0.25">
      <c r="B27" s="793" t="s">
        <v>63</v>
      </c>
      <c r="C27" s="794">
        <f>'CENSO 2020'!C28</f>
        <v>30064</v>
      </c>
      <c r="D27" s="795">
        <f t="shared" si="1"/>
        <v>2.4334334852880231</v>
      </c>
      <c r="E27" s="796">
        <f t="shared" si="2"/>
        <v>1.4600600911728139</v>
      </c>
      <c r="F27" s="797">
        <f>Datos!$K$78*'ISR Enaje'!E27/100</f>
        <v>511021.03191048489</v>
      </c>
      <c r="G27" s="798">
        <f>'Predial y Agua'!D27</f>
        <v>3902448</v>
      </c>
      <c r="H27" s="799">
        <f>'Predial y Agua'!G27</f>
        <v>2577638.86</v>
      </c>
      <c r="I27" s="795">
        <f t="shared" si="3"/>
        <v>0.66051843868259097</v>
      </c>
      <c r="J27" s="795">
        <f t="shared" si="4"/>
        <v>2.7649608812531552</v>
      </c>
      <c r="K27" s="804">
        <f t="shared" si="5"/>
        <v>0.82948826437594658</v>
      </c>
      <c r="L27" s="800">
        <f>Datos!$K$78*'ISR Enaje'!K27/100</f>
        <v>290320.89253158128</v>
      </c>
      <c r="M27" s="805">
        <f t="shared" si="6"/>
        <v>801341.92444206611</v>
      </c>
      <c r="N27" s="804">
        <f t="shared" si="7"/>
        <v>2.2895483555487606</v>
      </c>
      <c r="O27" s="804">
        <f t="shared" si="8"/>
        <v>0.43676736399844207</v>
      </c>
      <c r="P27" s="804">
        <f t="shared" si="9"/>
        <v>6.7271133706463955</v>
      </c>
      <c r="Q27" s="804">
        <f t="shared" si="10"/>
        <v>0.67271133706463959</v>
      </c>
      <c r="R27" s="802">
        <f t="shared" si="11"/>
        <v>235448.96797262385</v>
      </c>
      <c r="S27" s="803">
        <f t="shared" si="12"/>
        <v>1036790.89241469</v>
      </c>
      <c r="T27" s="73">
        <f t="shared" si="13"/>
        <v>2.9622596926133999</v>
      </c>
      <c r="U27" s="74"/>
      <c r="V27" s="75">
        <v>1.0987404654646735</v>
      </c>
      <c r="W27" s="75">
        <f t="shared" si="0"/>
        <v>-0.43822202678208255</v>
      </c>
      <c r="Y27" s="74"/>
      <c r="Z27" s="76"/>
      <c r="AA27" s="74"/>
      <c r="AB27" s="74"/>
    </row>
    <row r="28" spans="2:28" s="5" customFormat="1" ht="16.5" customHeight="1" thickBot="1" x14ac:dyDescent="0.3">
      <c r="B28" s="806" t="s">
        <v>64</v>
      </c>
      <c r="C28" s="794">
        <f>'CENSO 2020'!C29</f>
        <v>65229</v>
      </c>
      <c r="D28" s="807">
        <f t="shared" si="1"/>
        <v>5.2797509583506006</v>
      </c>
      <c r="E28" s="808">
        <f t="shared" si="2"/>
        <v>3.1678505750103603</v>
      </c>
      <c r="F28" s="797">
        <f>Datos!$K$78*'ISR Enaje'!E28/100</f>
        <v>1108747.701253626</v>
      </c>
      <c r="G28" s="798">
        <f>'Predial y Agua'!D28</f>
        <v>40126137</v>
      </c>
      <c r="H28" s="799">
        <f>'Predial y Agua'!G28</f>
        <v>43314555.549999997</v>
      </c>
      <c r="I28" s="807">
        <f t="shared" si="3"/>
        <v>1.0794598929371146</v>
      </c>
      <c r="J28" s="807">
        <f t="shared" si="4"/>
        <v>4.5186692786438734</v>
      </c>
      <c r="K28" s="809">
        <f t="shared" si="5"/>
        <v>1.3556007835931621</v>
      </c>
      <c r="L28" s="800">
        <f>Datos!$K$78*'ISR Enaje'!K28/100</f>
        <v>474460.27425760671</v>
      </c>
      <c r="M28" s="810">
        <f t="shared" si="6"/>
        <v>1583207.9755112329</v>
      </c>
      <c r="N28" s="809">
        <f t="shared" si="7"/>
        <v>4.5234513586035225</v>
      </c>
      <c r="O28" s="809">
        <f t="shared" si="8"/>
        <v>0.22107013444458026</v>
      </c>
      <c r="P28" s="809">
        <f t="shared" si="9"/>
        <v>3.4049335638503355</v>
      </c>
      <c r="Q28" s="809">
        <f t="shared" si="10"/>
        <v>0.34049335638503359</v>
      </c>
      <c r="R28" s="811">
        <f t="shared" si="11"/>
        <v>119172.67473476175</v>
      </c>
      <c r="S28" s="803">
        <f t="shared" si="12"/>
        <v>1702380.6502459946</v>
      </c>
      <c r="T28" s="73">
        <f t="shared" si="13"/>
        <v>4.8639447149885564</v>
      </c>
      <c r="U28" s="74"/>
      <c r="V28" s="75">
        <v>1.0459205946760619</v>
      </c>
      <c r="W28" s="75">
        <f t="shared" si="0"/>
        <v>3.353929826105273E-2</v>
      </c>
      <c r="Y28" s="74"/>
      <c r="Z28" s="76"/>
      <c r="AA28" s="74"/>
      <c r="AB28" s="74"/>
    </row>
    <row r="29" spans="2:28" s="5" customFormat="1" ht="16.5" customHeight="1" thickBot="1" x14ac:dyDescent="0.3">
      <c r="B29" s="81" t="s">
        <v>65</v>
      </c>
      <c r="C29" s="812">
        <f>SUM(C9:C28)</f>
        <v>1235456</v>
      </c>
      <c r="D29" s="813">
        <f>SUM(D9:D28)</f>
        <v>100</v>
      </c>
      <c r="E29" s="814">
        <f t="shared" ref="E29:L29" si="14">SUM(E9:E28)</f>
        <v>59.999999999999993</v>
      </c>
      <c r="F29" s="815">
        <f t="shared" si="14"/>
        <v>21000000</v>
      </c>
      <c r="G29" s="815">
        <f t="shared" si="14"/>
        <v>718357273</v>
      </c>
      <c r="H29" s="815">
        <f t="shared" si="14"/>
        <v>800846284.94999993</v>
      </c>
      <c r="I29" s="816">
        <f t="shared" si="14"/>
        <v>23.888889103676075</v>
      </c>
      <c r="J29" s="817">
        <f t="shared" si="14"/>
        <v>99.999999999999972</v>
      </c>
      <c r="K29" s="814">
        <f t="shared" si="14"/>
        <v>29.999999999999993</v>
      </c>
      <c r="L29" s="818">
        <f t="shared" si="14"/>
        <v>10499999.999999996</v>
      </c>
      <c r="M29" s="326">
        <f t="shared" si="6"/>
        <v>31499999.999999996</v>
      </c>
      <c r="N29" s="819">
        <f t="shared" ref="N29:S29" si="15">SUM(N9:N28)</f>
        <v>90</v>
      </c>
      <c r="O29" s="819">
        <f t="shared" si="15"/>
        <v>6.4926416418707387</v>
      </c>
      <c r="P29" s="819">
        <f t="shared" si="15"/>
        <v>100.00000000000003</v>
      </c>
      <c r="Q29" s="819">
        <f t="shared" si="15"/>
        <v>10.000000000000002</v>
      </c>
      <c r="R29" s="818">
        <f>Datos!I77</f>
        <v>3500000</v>
      </c>
      <c r="S29" s="326">
        <f t="shared" si="15"/>
        <v>35000000</v>
      </c>
      <c r="T29" s="73">
        <f>SUM(T9:T28)</f>
        <v>100</v>
      </c>
      <c r="U29" s="74"/>
      <c r="V29" s="75">
        <f>SUM(V9:V28)</f>
        <v>24.538698253136822</v>
      </c>
      <c r="W29" s="75"/>
      <c r="Y29" s="74"/>
      <c r="Z29" s="76"/>
      <c r="AA29" s="74"/>
      <c r="AB29" s="74"/>
    </row>
    <row r="30" spans="2:28" s="5" customFormat="1" ht="16.5" customHeight="1" x14ac:dyDescent="0.25">
      <c r="B30" s="820" t="s">
        <v>401</v>
      </c>
      <c r="C30" s="821"/>
      <c r="D30" s="822"/>
      <c r="E30" s="823"/>
      <c r="F30" s="824"/>
      <c r="G30" s="825"/>
      <c r="H30" s="826"/>
      <c r="I30" s="826"/>
      <c r="J30" s="826"/>
      <c r="K30" s="824"/>
      <c r="L30" s="827"/>
      <c r="M30" s="825"/>
      <c r="N30" s="823"/>
      <c r="O30" s="828"/>
      <c r="P30" s="827"/>
      <c r="Q30" s="827"/>
      <c r="R30" s="827"/>
      <c r="S30" s="960"/>
      <c r="T30" s="823"/>
      <c r="U30" s="828"/>
      <c r="V30" s="75"/>
      <c r="W30" s="75"/>
      <c r="Y30" s="74"/>
      <c r="Z30" s="76"/>
      <c r="AA30" s="74"/>
      <c r="AB30" s="74"/>
    </row>
    <row r="31" spans="2:28" s="5" customFormat="1" ht="23.25" customHeight="1" x14ac:dyDescent="0.25">
      <c r="B31" s="829" t="s">
        <v>324</v>
      </c>
      <c r="C31" s="1118" t="s">
        <v>402</v>
      </c>
      <c r="D31" s="1158"/>
      <c r="E31" s="1158"/>
      <c r="F31" s="1158"/>
      <c r="G31" s="1158"/>
      <c r="H31" s="1158"/>
      <c r="I31" s="1158"/>
      <c r="J31" s="1158"/>
      <c r="K31" s="1158"/>
      <c r="L31" s="1158"/>
      <c r="M31" s="1158"/>
      <c r="N31" s="1158"/>
      <c r="O31" s="1158"/>
      <c r="P31" s="1158"/>
      <c r="Q31" s="1158"/>
      <c r="R31" s="1158"/>
      <c r="S31" s="1158"/>
      <c r="T31" s="1158"/>
      <c r="U31" s="1158"/>
      <c r="W31" s="75"/>
    </row>
    <row r="32" spans="2:28" ht="15" customHeight="1" x14ac:dyDescent="0.25">
      <c r="C32" s="1158" t="s">
        <v>403</v>
      </c>
      <c r="D32" s="1158"/>
      <c r="E32" s="1158"/>
      <c r="F32" s="1158"/>
      <c r="G32" s="1158"/>
      <c r="H32" s="1158"/>
      <c r="I32" s="1158"/>
      <c r="J32" s="1158"/>
      <c r="K32" s="1158"/>
      <c r="L32" s="1158"/>
      <c r="M32" s="1158"/>
      <c r="N32" s="1158"/>
      <c r="O32" s="1158"/>
      <c r="P32" s="1158"/>
      <c r="Q32" s="1158"/>
      <c r="R32" s="1158"/>
      <c r="S32" s="1158"/>
      <c r="T32" s="1158"/>
      <c r="U32" s="1158"/>
    </row>
    <row r="33" spans="3:21" ht="15" customHeight="1" x14ac:dyDescent="0.25">
      <c r="C33" s="835"/>
      <c r="D33" s="835"/>
      <c r="E33" s="835"/>
      <c r="F33" s="835"/>
      <c r="G33" s="835"/>
      <c r="H33" s="835"/>
      <c r="I33" s="835"/>
      <c r="J33" s="835"/>
      <c r="K33" s="835"/>
      <c r="L33" s="835"/>
      <c r="M33" s="835"/>
      <c r="N33" s="835"/>
      <c r="O33" s="835"/>
      <c r="P33" s="835"/>
      <c r="Q33" s="835"/>
      <c r="R33" s="835"/>
      <c r="S33" s="835"/>
      <c r="T33" s="835"/>
      <c r="U33" s="835"/>
    </row>
    <row r="34" spans="3:21" ht="15" customHeight="1" x14ac:dyDescent="0.25">
      <c r="C34" s="835"/>
      <c r="D34" s="835"/>
      <c r="E34" s="835"/>
      <c r="F34" s="835"/>
      <c r="G34" s="835"/>
      <c r="H34" s="835"/>
      <c r="I34" s="835"/>
      <c r="J34" s="835"/>
      <c r="K34" s="835"/>
      <c r="L34" s="835"/>
      <c r="M34" s="835"/>
      <c r="N34" s="835"/>
      <c r="O34" s="835"/>
      <c r="P34" s="835"/>
      <c r="Q34" s="835"/>
      <c r="R34" s="835"/>
      <c r="S34" s="835"/>
    </row>
  </sheetData>
  <mergeCells count="21">
    <mergeCell ref="C31:U31"/>
    <mergeCell ref="C32:U32"/>
    <mergeCell ref="T4:T8"/>
    <mergeCell ref="D5:D6"/>
    <mergeCell ref="F5:F7"/>
    <mergeCell ref="G5:H6"/>
    <mergeCell ref="I5:I7"/>
    <mergeCell ref="J5:J7"/>
    <mergeCell ref="L5:L7"/>
    <mergeCell ref="M5:M7"/>
    <mergeCell ref="N5:N7"/>
    <mergeCell ref="O5:O7"/>
    <mergeCell ref="B1:S1"/>
    <mergeCell ref="B4:B8"/>
    <mergeCell ref="C4:F4"/>
    <mergeCell ref="G4:L4"/>
    <mergeCell ref="M4:R4"/>
    <mergeCell ref="P5:P8"/>
    <mergeCell ref="Q5:Q7"/>
    <mergeCell ref="R5:R7"/>
    <mergeCell ref="S5:S7"/>
  </mergeCells>
  <pageMargins left="0.74" right="0.35" top="0.74803149606299213" bottom="0.74803149606299213" header="0.31496062992125984" footer="0.31496062992125984"/>
  <pageSetup paperSize="5"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36"/>
  <sheetViews>
    <sheetView zoomScaleNormal="100" workbookViewId="0">
      <selection activeCell="A4" sqref="A4:O4"/>
    </sheetView>
  </sheetViews>
  <sheetFormatPr baseColWidth="10" defaultColWidth="11.42578125" defaultRowHeight="12.75" x14ac:dyDescent="0.2"/>
  <cols>
    <col min="1" max="1" width="16.85546875" style="331" customWidth="1"/>
    <col min="2" max="2" width="9.28515625" style="331" bestFit="1" customWidth="1"/>
    <col min="3" max="3" width="9.85546875" style="331" customWidth="1"/>
    <col min="4" max="5" width="10" style="331" customWidth="1"/>
    <col min="6" max="6" width="9.5703125" style="331" customWidth="1"/>
    <col min="7" max="7" width="9.42578125" style="331" customWidth="1"/>
    <col min="8" max="8" width="8.85546875" style="331" customWidth="1"/>
    <col min="9" max="9" width="9.85546875" style="331" customWidth="1"/>
    <col min="10" max="10" width="9.42578125" style="331" customWidth="1"/>
    <col min="11" max="12" width="9.7109375" style="331" customWidth="1"/>
    <col min="13" max="13" width="10.42578125" style="331" customWidth="1"/>
    <col min="14" max="14" width="10.5703125" style="331" customWidth="1"/>
    <col min="15" max="15" width="12.7109375" style="331" bestFit="1" customWidth="1"/>
    <col min="16" max="16384" width="11.42578125" style="331"/>
  </cols>
  <sheetData>
    <row r="1" spans="1:15" ht="15.75" x14ac:dyDescent="0.25">
      <c r="A1" s="1168" t="s">
        <v>277</v>
      </c>
      <c r="B1" s="1168"/>
      <c r="C1" s="1168"/>
      <c r="D1" s="1168"/>
      <c r="E1" s="1168"/>
      <c r="F1" s="1168"/>
      <c r="G1" s="1168"/>
      <c r="H1" s="1168"/>
      <c r="I1" s="1168"/>
      <c r="J1" s="1168"/>
      <c r="K1" s="1168"/>
      <c r="L1" s="1168"/>
      <c r="M1" s="1168"/>
      <c r="N1" s="1168"/>
      <c r="O1" s="1168"/>
    </row>
    <row r="2" spans="1:15" x14ac:dyDescent="0.2">
      <c r="A2" s="1169" t="s">
        <v>278</v>
      </c>
      <c r="B2" s="1169"/>
      <c r="C2" s="1169"/>
      <c r="D2" s="1169"/>
      <c r="E2" s="1169"/>
      <c r="F2" s="1169"/>
      <c r="G2" s="1169"/>
      <c r="H2" s="1169"/>
      <c r="I2" s="1169"/>
      <c r="J2" s="1169"/>
      <c r="K2" s="1169"/>
      <c r="L2" s="1169"/>
      <c r="M2" s="1169"/>
      <c r="N2" s="1169"/>
      <c r="O2" s="1169"/>
    </row>
    <row r="3" spans="1:15" x14ac:dyDescent="0.2">
      <c r="A3" s="1169" t="s">
        <v>279</v>
      </c>
      <c r="B3" s="1169"/>
      <c r="C3" s="1169"/>
      <c r="D3" s="1169"/>
      <c r="E3" s="1169"/>
      <c r="F3" s="1169"/>
      <c r="G3" s="1169"/>
      <c r="H3" s="1169"/>
      <c r="I3" s="1169"/>
      <c r="J3" s="1169"/>
      <c r="K3" s="1169"/>
      <c r="L3" s="1169"/>
      <c r="M3" s="1169"/>
      <c r="N3" s="1169"/>
      <c r="O3" s="1169"/>
    </row>
    <row r="4" spans="1:15" x14ac:dyDescent="0.2">
      <c r="A4" s="1170" t="s">
        <v>280</v>
      </c>
      <c r="B4" s="1170"/>
      <c r="C4" s="1170"/>
      <c r="D4" s="1170"/>
      <c r="E4" s="1170"/>
      <c r="F4" s="1170"/>
      <c r="G4" s="1170"/>
      <c r="H4" s="1170"/>
      <c r="I4" s="1170"/>
      <c r="J4" s="1170"/>
      <c r="K4" s="1170"/>
      <c r="L4" s="1170"/>
      <c r="M4" s="1170"/>
      <c r="N4" s="1170"/>
      <c r="O4" s="1170"/>
    </row>
    <row r="5" spans="1:15" ht="13.5" thickBot="1" x14ac:dyDescent="0.25"/>
    <row r="6" spans="1:15" ht="23.25" thickBot="1" x14ac:dyDescent="0.25">
      <c r="A6" s="332" t="s">
        <v>13</v>
      </c>
      <c r="B6" s="744" t="s">
        <v>281</v>
      </c>
      <c r="C6" s="332" t="s">
        <v>1</v>
      </c>
      <c r="D6" s="333" t="s">
        <v>2</v>
      </c>
      <c r="E6" s="332" t="s">
        <v>3</v>
      </c>
      <c r="F6" s="333" t="s">
        <v>4</v>
      </c>
      <c r="G6" s="332" t="s">
        <v>5</v>
      </c>
      <c r="H6" s="332" t="s">
        <v>6</v>
      </c>
      <c r="I6" s="332" t="s">
        <v>7</v>
      </c>
      <c r="J6" s="333" t="s">
        <v>8</v>
      </c>
      <c r="K6" s="332" t="s">
        <v>9</v>
      </c>
      <c r="L6" s="333" t="s">
        <v>10</v>
      </c>
      <c r="M6" s="332" t="s">
        <v>11</v>
      </c>
      <c r="N6" s="332" t="s">
        <v>12</v>
      </c>
      <c r="O6" s="334" t="s">
        <v>168</v>
      </c>
    </row>
    <row r="7" spans="1:15" x14ac:dyDescent="0.2">
      <c r="A7" s="335" t="s">
        <v>282</v>
      </c>
      <c r="B7" s="336">
        <v>3.9399999999999998E-2</v>
      </c>
      <c r="C7" s="337">
        <v>56963.546951054755</v>
      </c>
      <c r="D7" s="338">
        <v>86906.697217008536</v>
      </c>
      <c r="E7" s="337">
        <v>59746.246585840105</v>
      </c>
      <c r="F7" s="338">
        <v>67867.982827057887</v>
      </c>
      <c r="G7" s="337">
        <v>64660.762935787861</v>
      </c>
      <c r="H7" s="337">
        <v>67599.96159390721</v>
      </c>
      <c r="I7" s="339">
        <v>68696.572300394633</v>
      </c>
      <c r="J7" s="338">
        <v>71269.225402021868</v>
      </c>
      <c r="K7" s="337">
        <v>68949.326174828399</v>
      </c>
      <c r="L7" s="338">
        <v>67391.350673871697</v>
      </c>
      <c r="M7" s="337">
        <v>65860.428313614349</v>
      </c>
      <c r="N7" s="337">
        <v>66121.899024612852</v>
      </c>
      <c r="O7" s="340">
        <f>SUM(C7:N7)</f>
        <v>812034</v>
      </c>
    </row>
    <row r="8" spans="1:15" x14ac:dyDescent="0.2">
      <c r="A8" s="335" t="s">
        <v>147</v>
      </c>
      <c r="B8" s="341">
        <v>5.7799999999999997E-2</v>
      </c>
      <c r="C8" s="337">
        <v>83565.812532257987</v>
      </c>
      <c r="D8" s="338">
        <v>127492.56596809882</v>
      </c>
      <c r="E8" s="337">
        <v>87648.047021866951</v>
      </c>
      <c r="F8" s="338">
        <v>99562.675314820954</v>
      </c>
      <c r="G8" s="337">
        <v>94857.667454023816</v>
      </c>
      <c r="H8" s="337">
        <v>99169.486805275053</v>
      </c>
      <c r="I8" s="337">
        <v>100778.22027824391</v>
      </c>
      <c r="J8" s="338">
        <v>104552.31543748386</v>
      </c>
      <c r="K8" s="337">
        <v>101149.01149505284</v>
      </c>
      <c r="L8" s="338">
        <v>98863.453526644254</v>
      </c>
      <c r="M8" s="337">
        <v>96617.582652967249</v>
      </c>
      <c r="N8" s="337">
        <v>97001.161513264538</v>
      </c>
      <c r="O8" s="340">
        <f t="shared" ref="O8:O26" si="0">SUM(C8:N8)</f>
        <v>1191258.0000000002</v>
      </c>
    </row>
    <row r="9" spans="1:15" x14ac:dyDescent="0.2">
      <c r="A9" s="335" t="s">
        <v>148</v>
      </c>
      <c r="B9" s="341">
        <v>6.1199999999999997E-2</v>
      </c>
      <c r="C9" s="337">
        <v>88481.44856356729</v>
      </c>
      <c r="D9" s="338">
        <v>134992.12867210462</v>
      </c>
      <c r="E9" s="337">
        <v>92803.814493741476</v>
      </c>
      <c r="F9" s="338">
        <v>105419.30327451631</v>
      </c>
      <c r="G9" s="337">
        <v>100437.53024543698</v>
      </c>
      <c r="H9" s="337">
        <v>105002.98602911476</v>
      </c>
      <c r="I9" s="337">
        <v>106706.3508828465</v>
      </c>
      <c r="J9" s="338">
        <v>110702.45163968879</v>
      </c>
      <c r="K9" s="337">
        <v>107098.95334770301</v>
      </c>
      <c r="L9" s="338">
        <v>104678.95079291746</v>
      </c>
      <c r="M9" s="337">
        <v>102300.96986784769</v>
      </c>
      <c r="N9" s="337">
        <v>102707.1121905154</v>
      </c>
      <c r="O9" s="340">
        <f t="shared" si="0"/>
        <v>1261332.0000000005</v>
      </c>
    </row>
    <row r="10" spans="1:15" x14ac:dyDescent="0.2">
      <c r="A10" s="335" t="s">
        <v>283</v>
      </c>
      <c r="B10" s="341">
        <v>5.0799999999999998E-2</v>
      </c>
      <c r="C10" s="337">
        <v>73445.385408974151</v>
      </c>
      <c r="D10" s="338">
        <v>112052.28981279273</v>
      </c>
      <c r="E10" s="337">
        <v>77033.231638595869</v>
      </c>
      <c r="F10" s="338">
        <v>87504.911868389361</v>
      </c>
      <c r="G10" s="337">
        <v>83369.714648173191</v>
      </c>
      <c r="H10" s="337">
        <v>87159.341344428598</v>
      </c>
      <c r="I10" s="337">
        <v>88573.245504062128</v>
      </c>
      <c r="J10" s="338">
        <v>91890.270315297239</v>
      </c>
      <c r="K10" s="337">
        <v>88899.131210184845</v>
      </c>
      <c r="L10" s="338">
        <v>86890.370919611218</v>
      </c>
      <c r="M10" s="337">
        <v>84916.491328213437</v>
      </c>
      <c r="N10" s="337">
        <v>85253.616001277493</v>
      </c>
      <c r="O10" s="340">
        <f t="shared" si="0"/>
        <v>1046988.0000000002</v>
      </c>
    </row>
    <row r="11" spans="1:15" x14ac:dyDescent="0.2">
      <c r="A11" s="335" t="s">
        <v>150</v>
      </c>
      <c r="B11" s="341">
        <v>3.0700000000000002E-2</v>
      </c>
      <c r="C11" s="337">
        <v>44385.301812116275</v>
      </c>
      <c r="D11" s="338">
        <v>67716.63970969955</v>
      </c>
      <c r="E11" s="337">
        <v>46553.54746663176</v>
      </c>
      <c r="F11" s="338">
        <v>52881.905400778611</v>
      </c>
      <c r="G11" s="337">
        <v>50382.878734230646</v>
      </c>
      <c r="H11" s="337">
        <v>52673.066521140907</v>
      </c>
      <c r="I11" s="337">
        <v>53527.532223911563</v>
      </c>
      <c r="J11" s="338">
        <v>55532.112178732787</v>
      </c>
      <c r="K11" s="337">
        <v>53724.474963635337</v>
      </c>
      <c r="L11" s="338">
        <v>52510.519433702058</v>
      </c>
      <c r="M11" s="337">
        <v>51317.643381420326</v>
      </c>
      <c r="N11" s="337">
        <v>51521.378174000376</v>
      </c>
      <c r="O11" s="340">
        <f t="shared" si="0"/>
        <v>632727.00000000023</v>
      </c>
    </row>
    <row r="12" spans="1:15" x14ac:dyDescent="0.2">
      <c r="A12" s="335" t="s">
        <v>284</v>
      </c>
      <c r="B12" s="341">
        <v>9.5100000000000004E-2</v>
      </c>
      <c r="C12" s="337">
        <v>137493.23134632761</v>
      </c>
      <c r="D12" s="338">
        <v>209767.18033851555</v>
      </c>
      <c r="E12" s="337">
        <v>144209.84899272575</v>
      </c>
      <c r="F12" s="338">
        <v>163813.32910794936</v>
      </c>
      <c r="G12" s="337">
        <v>156072.0445480565</v>
      </c>
      <c r="H12" s="337">
        <v>163166.40476092836</v>
      </c>
      <c r="I12" s="337">
        <v>165813.30014638402</v>
      </c>
      <c r="J12" s="338">
        <v>172022.92730284977</v>
      </c>
      <c r="K12" s="337">
        <v>166423.37358442086</v>
      </c>
      <c r="L12" s="338">
        <v>162662.87941840605</v>
      </c>
      <c r="M12" s="337">
        <v>158967.68356915549</v>
      </c>
      <c r="N12" s="337">
        <v>159598.7968842813</v>
      </c>
      <c r="O12" s="340">
        <f t="shared" si="0"/>
        <v>1960011.0000000005</v>
      </c>
    </row>
    <row r="13" spans="1:15" x14ac:dyDescent="0.2">
      <c r="A13" s="335" t="s">
        <v>152</v>
      </c>
      <c r="B13" s="341">
        <v>9.3299999999999994E-2</v>
      </c>
      <c r="C13" s="337">
        <v>134890.83580034031</v>
      </c>
      <c r="D13" s="338">
        <v>205796.82361286538</v>
      </c>
      <c r="E13" s="337">
        <v>141480.32503702745</v>
      </c>
      <c r="F13" s="338">
        <v>160712.76136458124</v>
      </c>
      <c r="G13" s="337">
        <v>153117.99954083774</v>
      </c>
      <c r="H13" s="337">
        <v>160078.08164242495</v>
      </c>
      <c r="I13" s="337">
        <v>162674.87806159441</v>
      </c>
      <c r="J13" s="338">
        <v>168766.9728428589</v>
      </c>
      <c r="K13" s="337">
        <v>163273.40436831192</v>
      </c>
      <c r="L13" s="338">
        <v>159584.08674802611</v>
      </c>
      <c r="M13" s="337">
        <v>155958.83151421876</v>
      </c>
      <c r="N13" s="337">
        <v>156577.99946691317</v>
      </c>
      <c r="O13" s="340">
        <f t="shared" si="0"/>
        <v>1922913.0000000005</v>
      </c>
    </row>
    <row r="14" spans="1:15" x14ac:dyDescent="0.2">
      <c r="A14" s="335" t="s">
        <v>153</v>
      </c>
      <c r="B14" s="341">
        <v>4.5199999999999997E-2</v>
      </c>
      <c r="C14" s="337">
        <v>65349.043710347076</v>
      </c>
      <c r="D14" s="338">
        <v>99700.068888547859</v>
      </c>
      <c r="E14" s="337">
        <v>68541.379331978998</v>
      </c>
      <c r="F14" s="338">
        <v>77858.701111244067</v>
      </c>
      <c r="G14" s="337">
        <v>74179.352403492667</v>
      </c>
      <c r="H14" s="337">
        <v>77551.224975751422</v>
      </c>
      <c r="I14" s="337">
        <v>78809.265684716695</v>
      </c>
      <c r="J14" s="338">
        <v>81760.634217547937</v>
      </c>
      <c r="K14" s="337">
        <v>79099.226982290449</v>
      </c>
      <c r="L14" s="338">
        <v>77311.90483398478</v>
      </c>
      <c r="M14" s="337">
        <v>75555.618268410384</v>
      </c>
      <c r="N14" s="337">
        <v>75855.579591687841</v>
      </c>
      <c r="O14" s="340">
        <f t="shared" si="0"/>
        <v>931572.00000000035</v>
      </c>
    </row>
    <row r="15" spans="1:15" x14ac:dyDescent="0.2">
      <c r="A15" s="335" t="s">
        <v>154</v>
      </c>
      <c r="B15" s="341">
        <v>5.0799999999999998E-2</v>
      </c>
      <c r="C15" s="337">
        <v>73445.385408974151</v>
      </c>
      <c r="D15" s="338">
        <v>112052.28981279273</v>
      </c>
      <c r="E15" s="337">
        <v>77033.231638595869</v>
      </c>
      <c r="F15" s="338">
        <v>87504.911868389361</v>
      </c>
      <c r="G15" s="337">
        <v>83369.714648173191</v>
      </c>
      <c r="H15" s="337">
        <v>87159.341344428598</v>
      </c>
      <c r="I15" s="337">
        <v>88573.245504062128</v>
      </c>
      <c r="J15" s="338">
        <v>91890.270315297239</v>
      </c>
      <c r="K15" s="337">
        <v>88899.131210184845</v>
      </c>
      <c r="L15" s="338">
        <v>86890.370919611218</v>
      </c>
      <c r="M15" s="337">
        <v>84916.491328213437</v>
      </c>
      <c r="N15" s="337">
        <v>85253.616001277493</v>
      </c>
      <c r="O15" s="340">
        <f t="shared" si="0"/>
        <v>1046988.0000000002</v>
      </c>
    </row>
    <row r="16" spans="1:15" x14ac:dyDescent="0.2">
      <c r="A16" s="335" t="s">
        <v>155</v>
      </c>
      <c r="B16" s="341">
        <v>8.9200000000000002E-2</v>
      </c>
      <c r="C16" s="337">
        <v>128963.15705670265</v>
      </c>
      <c r="D16" s="338">
        <v>196753.23329332899</v>
      </c>
      <c r="E16" s="337">
        <v>135263.07602682582</v>
      </c>
      <c r="F16" s="338">
        <v>153650.35706024274</v>
      </c>
      <c r="G16" s="337">
        <v>146389.34146883953</v>
      </c>
      <c r="H16" s="337">
        <v>153043.5678725006</v>
      </c>
      <c r="I16" s="337">
        <v>155526.24997957365</v>
      </c>
      <c r="J16" s="338">
        <v>161350.6321284353</v>
      </c>
      <c r="K16" s="337">
        <v>156098.47448717497</v>
      </c>
      <c r="L16" s="338">
        <v>152571.28122104963</v>
      </c>
      <c r="M16" s="337">
        <v>149105.33516686296</v>
      </c>
      <c r="N16" s="337">
        <v>149697.29423846363</v>
      </c>
      <c r="O16" s="340">
        <f t="shared" si="0"/>
        <v>1838412.0000000005</v>
      </c>
    </row>
    <row r="17" spans="1:15" x14ac:dyDescent="0.2">
      <c r="A17" s="335" t="s">
        <v>156</v>
      </c>
      <c r="B17" s="341">
        <v>5.0200000000000002E-2</v>
      </c>
      <c r="C17" s="337">
        <v>72577.9202269784</v>
      </c>
      <c r="D17" s="338">
        <v>110728.83757090935</v>
      </c>
      <c r="E17" s="337">
        <v>76123.390320029779</v>
      </c>
      <c r="F17" s="338">
        <v>86471.389287266647</v>
      </c>
      <c r="G17" s="337">
        <v>82385.032979100273</v>
      </c>
      <c r="H17" s="337">
        <v>86129.900304927476</v>
      </c>
      <c r="I17" s="337">
        <v>87527.104809132259</v>
      </c>
      <c r="J17" s="338">
        <v>90804.952161966954</v>
      </c>
      <c r="K17" s="337">
        <v>87849.141471481882</v>
      </c>
      <c r="L17" s="338">
        <v>85864.106696151255</v>
      </c>
      <c r="M17" s="337">
        <v>83913.540643234548</v>
      </c>
      <c r="N17" s="337">
        <v>84246.683528821464</v>
      </c>
      <c r="O17" s="340">
        <f t="shared" si="0"/>
        <v>1034622.0000000002</v>
      </c>
    </row>
    <row r="18" spans="1:15" x14ac:dyDescent="0.2">
      <c r="A18" s="335" t="s">
        <v>157</v>
      </c>
      <c r="B18" s="341">
        <v>4.2900000000000001E-2</v>
      </c>
      <c r="C18" s="337">
        <v>62023.760512696681</v>
      </c>
      <c r="D18" s="338">
        <v>94626.835294661578</v>
      </c>
      <c r="E18" s="337">
        <v>65053.654277475653</v>
      </c>
      <c r="F18" s="338">
        <v>73896.864550273691</v>
      </c>
      <c r="G18" s="337">
        <v>70404.739338713189</v>
      </c>
      <c r="H18" s="337">
        <v>73605.034324330452</v>
      </c>
      <c r="I18" s="337">
        <v>74799.05968748554</v>
      </c>
      <c r="J18" s="338">
        <v>77600.247963115195</v>
      </c>
      <c r="K18" s="337">
        <v>75074.266317262402</v>
      </c>
      <c r="L18" s="338">
        <v>73377.891977388223</v>
      </c>
      <c r="M18" s="337">
        <v>71710.973975991277</v>
      </c>
      <c r="N18" s="337">
        <v>71995.671780606383</v>
      </c>
      <c r="O18" s="340">
        <f t="shared" si="0"/>
        <v>884169.00000000023</v>
      </c>
    </row>
    <row r="19" spans="1:15" x14ac:dyDescent="0.2">
      <c r="A19" s="335" t="s">
        <v>158</v>
      </c>
      <c r="B19" s="341">
        <v>3.04E-2</v>
      </c>
      <c r="C19" s="337">
        <v>43951.569221118392</v>
      </c>
      <c r="D19" s="338">
        <v>67054.91358875786</v>
      </c>
      <c r="E19" s="337">
        <v>46098.626807348708</v>
      </c>
      <c r="F19" s="338">
        <v>52365.144110217254</v>
      </c>
      <c r="G19" s="337">
        <v>49890.537899694187</v>
      </c>
      <c r="H19" s="337">
        <v>52158.346001390346</v>
      </c>
      <c r="I19" s="337">
        <v>53004.461876446629</v>
      </c>
      <c r="J19" s="338">
        <v>54989.453102067637</v>
      </c>
      <c r="K19" s="337">
        <v>53199.480094283848</v>
      </c>
      <c r="L19" s="338">
        <v>51997.38732197207</v>
      </c>
      <c r="M19" s="337">
        <v>50816.168038930875</v>
      </c>
      <c r="N19" s="337">
        <v>51017.911937772355</v>
      </c>
      <c r="O19" s="340">
        <f t="shared" si="0"/>
        <v>626544.00000000023</v>
      </c>
    </row>
    <row r="20" spans="1:15" x14ac:dyDescent="0.2">
      <c r="A20" s="335" t="s">
        <v>285</v>
      </c>
      <c r="B20" s="341">
        <v>6.7000000000000004E-2</v>
      </c>
      <c r="C20" s="337">
        <v>96866.94532285961</v>
      </c>
      <c r="D20" s="338">
        <v>147785.50034364397</v>
      </c>
      <c r="E20" s="337">
        <v>101598.94723988039</v>
      </c>
      <c r="F20" s="338">
        <v>115410.02155870252</v>
      </c>
      <c r="G20" s="337">
        <v>109956.1197131418</v>
      </c>
      <c r="H20" s="337">
        <v>114954.24941095899</v>
      </c>
      <c r="I20" s="337">
        <v>116819.04426716856</v>
      </c>
      <c r="J20" s="338">
        <v>121193.86045521488</v>
      </c>
      <c r="K20" s="337">
        <v>117248.85415516507</v>
      </c>
      <c r="L20" s="338">
        <v>114599.50495303056</v>
      </c>
      <c r="M20" s="337">
        <v>111996.15982264372</v>
      </c>
      <c r="N20" s="337">
        <v>112440.7927575904</v>
      </c>
      <c r="O20" s="340">
        <f t="shared" si="0"/>
        <v>1380870.0000000002</v>
      </c>
    </row>
    <row r="21" spans="1:15" x14ac:dyDescent="0.2">
      <c r="A21" s="335" t="s">
        <v>286</v>
      </c>
      <c r="B21" s="341">
        <v>5.0799999999999998E-2</v>
      </c>
      <c r="C21" s="337">
        <v>73445.385408974151</v>
      </c>
      <c r="D21" s="338">
        <v>112052.28981279273</v>
      </c>
      <c r="E21" s="337">
        <v>77033.231638595869</v>
      </c>
      <c r="F21" s="338">
        <v>87504.911868389361</v>
      </c>
      <c r="G21" s="337">
        <v>83369.714648173191</v>
      </c>
      <c r="H21" s="337">
        <v>87159.341344428598</v>
      </c>
      <c r="I21" s="337">
        <v>88573.245504062128</v>
      </c>
      <c r="J21" s="338">
        <v>91890.270315297239</v>
      </c>
      <c r="K21" s="337">
        <v>88899.131210184845</v>
      </c>
      <c r="L21" s="338">
        <v>86890.370919611218</v>
      </c>
      <c r="M21" s="337">
        <v>84916.491328213437</v>
      </c>
      <c r="N21" s="337">
        <v>85253.616001277493</v>
      </c>
      <c r="O21" s="340">
        <f t="shared" si="0"/>
        <v>1046988.0000000002</v>
      </c>
    </row>
    <row r="22" spans="1:15" x14ac:dyDescent="0.2">
      <c r="A22" s="335" t="s">
        <v>287</v>
      </c>
      <c r="B22" s="341">
        <v>1.7000000000000001E-2</v>
      </c>
      <c r="C22" s="337">
        <v>24578.18015654647</v>
      </c>
      <c r="D22" s="338">
        <v>37497.813520029071</v>
      </c>
      <c r="E22" s="337">
        <v>25778.837359372636</v>
      </c>
      <c r="F22" s="338">
        <v>29283.139798476757</v>
      </c>
      <c r="G22" s="337">
        <v>27899.313957065831</v>
      </c>
      <c r="H22" s="337">
        <v>29167.496119198549</v>
      </c>
      <c r="I22" s="337">
        <v>29640.653023012917</v>
      </c>
      <c r="J22" s="338">
        <v>30750.68101102467</v>
      </c>
      <c r="K22" s="337">
        <v>29749.709263250839</v>
      </c>
      <c r="L22" s="338">
        <v>29077.486331365963</v>
      </c>
      <c r="M22" s="337">
        <v>28416.936074402136</v>
      </c>
      <c r="N22" s="337">
        <v>28529.75338625428</v>
      </c>
      <c r="O22" s="340">
        <f t="shared" si="0"/>
        <v>350370.00000000012</v>
      </c>
    </row>
    <row r="23" spans="1:15" x14ac:dyDescent="0.2">
      <c r="A23" s="335" t="s">
        <v>162</v>
      </c>
      <c r="B23" s="341">
        <v>4.0800000000000003E-2</v>
      </c>
      <c r="C23" s="337">
        <v>58987.632375711531</v>
      </c>
      <c r="D23" s="338">
        <v>89994.752448069761</v>
      </c>
      <c r="E23" s="337">
        <v>61869.20966249433</v>
      </c>
      <c r="F23" s="338">
        <v>70279.535516344215</v>
      </c>
      <c r="G23" s="337">
        <v>66958.353496957992</v>
      </c>
      <c r="H23" s="337">
        <v>70001.990686076519</v>
      </c>
      <c r="I23" s="337">
        <v>71137.567255230999</v>
      </c>
      <c r="J23" s="338">
        <v>73801.634426459204</v>
      </c>
      <c r="K23" s="337">
        <v>71399.302231802008</v>
      </c>
      <c r="L23" s="338">
        <v>69785.96719527831</v>
      </c>
      <c r="M23" s="337">
        <v>68200.646578565123</v>
      </c>
      <c r="N23" s="337">
        <v>68471.408127010276</v>
      </c>
      <c r="O23" s="340">
        <f t="shared" si="0"/>
        <v>840888.00000000023</v>
      </c>
    </row>
    <row r="24" spans="1:15" x14ac:dyDescent="0.2">
      <c r="A24" s="335" t="s">
        <v>163</v>
      </c>
      <c r="B24" s="341">
        <v>3.7000000000000002E-3</v>
      </c>
      <c r="C24" s="337">
        <v>5349.3686223071727</v>
      </c>
      <c r="D24" s="338">
        <v>8161.2888249475027</v>
      </c>
      <c r="E24" s="337">
        <v>5610.6881311575735</v>
      </c>
      <c r="F24" s="338">
        <v>6373.389250256706</v>
      </c>
      <c r="G24" s="337">
        <v>6072.2036259496217</v>
      </c>
      <c r="H24" s="337">
        <v>6348.2197435902726</v>
      </c>
      <c r="I24" s="337">
        <v>6451.2009520675174</v>
      </c>
      <c r="J24" s="338">
        <v>6692.795278870075</v>
      </c>
      <c r="K24" s="337">
        <v>6474.9367220016529</v>
      </c>
      <c r="L24" s="338">
        <v>6328.6293780031801</v>
      </c>
      <c r="M24" s="337">
        <v>6184.8625573698764</v>
      </c>
      <c r="N24" s="337">
        <v>6209.4169134788726</v>
      </c>
      <c r="O24" s="340">
        <f t="shared" si="0"/>
        <v>76257.000000000015</v>
      </c>
    </row>
    <row r="25" spans="1:15" x14ac:dyDescent="0.2">
      <c r="A25" s="335" t="s">
        <v>164</v>
      </c>
      <c r="B25" s="341">
        <v>3.7699999999999997E-2</v>
      </c>
      <c r="C25" s="337">
        <v>54505.728935400104</v>
      </c>
      <c r="D25" s="338">
        <v>83156.91586500562</v>
      </c>
      <c r="E25" s="337">
        <v>57168.362849902842</v>
      </c>
      <c r="F25" s="338">
        <v>64939.668847210211</v>
      </c>
      <c r="G25" s="337">
        <v>61870.831540081279</v>
      </c>
      <c r="H25" s="337">
        <v>64683.211981987362</v>
      </c>
      <c r="I25" s="337">
        <v>65732.506998093348</v>
      </c>
      <c r="J25" s="338">
        <v>68194.157300919396</v>
      </c>
      <c r="K25" s="337">
        <v>65974.355248503314</v>
      </c>
      <c r="L25" s="338">
        <v>64483.602040735095</v>
      </c>
      <c r="M25" s="337">
        <v>63018.734706174146</v>
      </c>
      <c r="N25" s="337">
        <v>63268.923685987422</v>
      </c>
      <c r="O25" s="340">
        <f t="shared" si="0"/>
        <v>776997</v>
      </c>
    </row>
    <row r="26" spans="1:15" ht="13.5" thickBot="1" x14ac:dyDescent="0.25">
      <c r="A26" s="335" t="s">
        <v>165</v>
      </c>
      <c r="B26" s="342">
        <v>4.5999999999999999E-2</v>
      </c>
      <c r="C26" s="337">
        <v>66505.663953008087</v>
      </c>
      <c r="D26" s="338">
        <v>101464.6718777257</v>
      </c>
      <c r="E26" s="337">
        <v>69754.501090067133</v>
      </c>
      <c r="F26" s="338">
        <v>79236.73121940768</v>
      </c>
      <c r="G26" s="337">
        <v>75492.261295589895</v>
      </c>
      <c r="H26" s="337">
        <v>78923.813028419594</v>
      </c>
      <c r="I26" s="343">
        <v>80204.119944623177</v>
      </c>
      <c r="J26" s="338">
        <v>83207.725088654974</v>
      </c>
      <c r="K26" s="337">
        <v>80499.213300561081</v>
      </c>
      <c r="L26" s="338">
        <v>78680.257131931416</v>
      </c>
      <c r="M26" s="337">
        <v>76892.885848382241</v>
      </c>
      <c r="N26" s="337">
        <v>77198.156221629222</v>
      </c>
      <c r="O26" s="340">
        <f t="shared" si="0"/>
        <v>948060.00000000023</v>
      </c>
    </row>
    <row r="27" spans="1:15" ht="13.5" thickBot="1" x14ac:dyDescent="0.25">
      <c r="A27" s="344" t="s">
        <v>288</v>
      </c>
      <c r="B27" s="345">
        <f>SUM(B7:B26)</f>
        <v>1</v>
      </c>
      <c r="C27" s="346">
        <f>SUM(C7:C26)</f>
        <v>1445775.3033262629</v>
      </c>
      <c r="D27" s="346">
        <f t="shared" ref="D27:O27" si="1">SUM(D7:D26)</f>
        <v>2205753.7364722979</v>
      </c>
      <c r="E27" s="346">
        <f t="shared" si="1"/>
        <v>1516402.197610155</v>
      </c>
      <c r="F27" s="346">
        <f t="shared" si="1"/>
        <v>1722537.6352045152</v>
      </c>
      <c r="G27" s="346">
        <f t="shared" si="1"/>
        <v>1641136.1151215194</v>
      </c>
      <c r="H27" s="346">
        <f t="shared" si="1"/>
        <v>1715735.0658352086</v>
      </c>
      <c r="I27" s="346">
        <f t="shared" si="1"/>
        <v>1743567.8248831125</v>
      </c>
      <c r="J27" s="346">
        <f t="shared" si="1"/>
        <v>1808863.5888838039</v>
      </c>
      <c r="K27" s="346">
        <f t="shared" si="1"/>
        <v>1749982.8978382845</v>
      </c>
      <c r="L27" s="346">
        <f t="shared" si="1"/>
        <v>1710440.3724332915</v>
      </c>
      <c r="M27" s="346">
        <f t="shared" si="1"/>
        <v>1671584.474964832</v>
      </c>
      <c r="N27" s="346">
        <f t="shared" si="1"/>
        <v>1678220.787426722</v>
      </c>
      <c r="O27" s="346">
        <f t="shared" si="1"/>
        <v>20610000.000000004</v>
      </c>
    </row>
    <row r="28" spans="1:15" x14ac:dyDescent="0.2">
      <c r="A28" s="510" t="s">
        <v>289</v>
      </c>
      <c r="B28" s="506"/>
      <c r="C28" s="506"/>
      <c r="D28" s="506"/>
      <c r="E28" s="506"/>
      <c r="F28" s="506"/>
      <c r="G28" s="506"/>
      <c r="H28" s="506"/>
      <c r="I28" s="506"/>
      <c r="J28" s="506"/>
      <c r="K28" s="506"/>
      <c r="L28" s="506"/>
      <c r="M28" s="506"/>
      <c r="N28" s="506"/>
      <c r="O28" s="506"/>
    </row>
    <row r="29" spans="1:15" x14ac:dyDescent="0.2">
      <c r="A29" s="505"/>
      <c r="B29" s="507"/>
      <c r="C29" s="507"/>
      <c r="D29" s="507"/>
      <c r="E29" s="507"/>
      <c r="F29" s="507"/>
      <c r="G29" s="507"/>
      <c r="H29" s="507"/>
      <c r="I29" s="507"/>
      <c r="J29" s="507"/>
      <c r="K29" s="507"/>
      <c r="L29" s="507"/>
      <c r="M29" s="507"/>
      <c r="N29" s="507"/>
      <c r="O29" s="507"/>
    </row>
    <row r="30" spans="1:15" x14ac:dyDescent="0.2">
      <c r="A30" s="508" t="s">
        <v>290</v>
      </c>
      <c r="B30" s="509"/>
      <c r="C30" s="509"/>
      <c r="D30" s="509"/>
      <c r="E30" s="509"/>
      <c r="F30" s="509"/>
      <c r="G30" s="509"/>
      <c r="H30" s="509"/>
      <c r="I30" s="509"/>
      <c r="J30" s="509"/>
      <c r="K30" s="509"/>
      <c r="L30" s="509"/>
      <c r="M30" s="509"/>
      <c r="N30" s="509"/>
      <c r="O30" s="509"/>
    </row>
    <row r="31" spans="1:15" ht="27" customHeight="1" x14ac:dyDescent="0.2">
      <c r="A31" s="1171" t="s">
        <v>291</v>
      </c>
      <c r="B31" s="1172"/>
      <c r="C31" s="1172"/>
      <c r="D31" s="1172"/>
      <c r="E31" s="1172"/>
      <c r="F31" s="1172"/>
      <c r="G31" s="1172"/>
      <c r="H31" s="1172"/>
      <c r="I31" s="1172"/>
      <c r="J31" s="1172"/>
      <c r="K31" s="1172"/>
      <c r="L31" s="1172"/>
      <c r="M31" s="1172"/>
      <c r="N31" s="1172"/>
      <c r="O31" s="1172"/>
    </row>
    <row r="34" spans="3:15" hidden="1" x14ac:dyDescent="0.2">
      <c r="C34" s="738">
        <f>ROUND(C27,2)</f>
        <v>1445775.3</v>
      </c>
      <c r="D34" s="738">
        <f t="shared" ref="D34:N34" si="2">ROUND(D27,2)</f>
        <v>2205753.7400000002</v>
      </c>
      <c r="E34" s="738">
        <f t="shared" si="2"/>
        <v>1516402.2</v>
      </c>
      <c r="F34" s="738">
        <f t="shared" si="2"/>
        <v>1722537.64</v>
      </c>
      <c r="G34" s="738">
        <f t="shared" si="2"/>
        <v>1641136.12</v>
      </c>
      <c r="H34" s="738">
        <f t="shared" si="2"/>
        <v>1715735.07</v>
      </c>
      <c r="I34" s="738">
        <f t="shared" si="2"/>
        <v>1743567.82</v>
      </c>
      <c r="J34" s="738">
        <f t="shared" si="2"/>
        <v>1808863.59</v>
      </c>
      <c r="K34" s="738">
        <f t="shared" si="2"/>
        <v>1749982.9</v>
      </c>
      <c r="L34" s="738">
        <f t="shared" si="2"/>
        <v>1710440.37</v>
      </c>
      <c r="M34" s="738">
        <f t="shared" si="2"/>
        <v>1671584.47</v>
      </c>
      <c r="N34" s="738">
        <f t="shared" si="2"/>
        <v>1678220.79</v>
      </c>
    </row>
    <row r="35" spans="3:15" hidden="1" x14ac:dyDescent="0.2"/>
    <row r="36" spans="3:15" hidden="1" x14ac:dyDescent="0.2">
      <c r="C36" s="739">
        <v>1445775.3</v>
      </c>
      <c r="D36" s="739">
        <v>2205753.7400000002</v>
      </c>
      <c r="E36" s="739">
        <v>1516402.2</v>
      </c>
      <c r="F36" s="739">
        <v>1722537.64</v>
      </c>
      <c r="G36" s="739">
        <v>1641136.12</v>
      </c>
      <c r="H36" s="739">
        <v>1715735.07</v>
      </c>
      <c r="I36" s="739">
        <v>1743567.82</v>
      </c>
      <c r="J36" s="739">
        <v>1808863.59</v>
      </c>
      <c r="K36" s="739">
        <v>1749982.9</v>
      </c>
      <c r="L36" s="739">
        <v>1710440.37</v>
      </c>
      <c r="M36" s="739">
        <v>1671584.47</v>
      </c>
      <c r="N36" s="739">
        <v>1678220.79</v>
      </c>
      <c r="O36" s="739">
        <f>SUM(C36:N36)</f>
        <v>20610000.009999998</v>
      </c>
    </row>
  </sheetData>
  <mergeCells count="5">
    <mergeCell ref="A1:O1"/>
    <mergeCell ref="A2:O2"/>
    <mergeCell ref="A3:O3"/>
    <mergeCell ref="A4:O4"/>
    <mergeCell ref="A31:O31"/>
  </mergeCells>
  <printOptions horizontalCentered="1"/>
  <pageMargins left="0.39" right="0.74803149606299213" top="0.98425196850393704" bottom="0.98425196850393704" header="0" footer="0"/>
  <pageSetup paperSize="5"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rgb="FFFFFF00"/>
    <pageSetUpPr fitToPage="1"/>
  </sheetPr>
  <dimension ref="B2:U117"/>
  <sheetViews>
    <sheetView topLeftCell="A19" zoomScale="110" zoomScaleNormal="110" workbookViewId="0">
      <selection activeCell="K49" sqref="K49"/>
    </sheetView>
  </sheetViews>
  <sheetFormatPr baseColWidth="10" defaultRowHeight="15" x14ac:dyDescent="0.25"/>
  <cols>
    <col min="1" max="1" width="12.140625" customWidth="1"/>
    <col min="2" max="2" width="7.140625" style="184"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9" customWidth="1"/>
    <col min="10" max="10" width="13.42578125" style="9"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8"/>
      <c r="D2" s="8"/>
      <c r="E2" s="8"/>
      <c r="F2" s="8"/>
      <c r="G2" s="8"/>
      <c r="H2" s="8"/>
      <c r="K2" s="182" t="s">
        <v>174</v>
      </c>
    </row>
    <row r="3" spans="2:16" x14ac:dyDescent="0.25">
      <c r="C3" s="8"/>
      <c r="D3" s="8"/>
      <c r="E3" s="8"/>
      <c r="F3" s="8"/>
      <c r="G3" s="8"/>
      <c r="H3" s="8"/>
      <c r="I3" s="57"/>
      <c r="J3" s="57"/>
    </row>
    <row r="4" spans="2:16" ht="15.75" thickBot="1" x14ac:dyDescent="0.3">
      <c r="C4" s="1063" t="s">
        <v>175</v>
      </c>
      <c r="D4" s="1063"/>
      <c r="E4" s="1063"/>
      <c r="F4" s="1063"/>
      <c r="G4" s="1063"/>
      <c r="H4" s="1063"/>
      <c r="I4" s="1063"/>
      <c r="J4" s="1063"/>
      <c r="K4" s="1063"/>
    </row>
    <row r="5" spans="2:16" x14ac:dyDescent="0.25">
      <c r="B5" s="1224" t="s">
        <v>452</v>
      </c>
      <c r="C5" s="1225"/>
      <c r="D5" s="1225"/>
      <c r="E5" s="1225"/>
      <c r="F5" s="1225"/>
      <c r="G5" s="1225"/>
      <c r="H5" s="1225"/>
      <c r="I5" s="1225"/>
      <c r="J5" s="1225"/>
      <c r="K5" s="1226"/>
    </row>
    <row r="6" spans="2:16" ht="15.75" thickBot="1" x14ac:dyDescent="0.3">
      <c r="B6" s="1227" t="s">
        <v>176</v>
      </c>
      <c r="C6" s="1228"/>
      <c r="D6" s="1228"/>
      <c r="E6" s="1228"/>
      <c r="F6" s="1228"/>
      <c r="G6" s="1228"/>
      <c r="H6" s="1229"/>
      <c r="I6" s="185"/>
      <c r="J6" s="186"/>
      <c r="K6" s="187" t="s">
        <v>19</v>
      </c>
    </row>
    <row r="7" spans="2:16" x14ac:dyDescent="0.25">
      <c r="B7" s="188"/>
      <c r="C7" s="130"/>
      <c r="D7" s="189"/>
      <c r="E7" s="189"/>
      <c r="F7" s="190"/>
      <c r="G7" s="191"/>
      <c r="H7" s="192"/>
      <c r="I7" s="193"/>
      <c r="J7" s="194"/>
      <c r="K7" s="192"/>
    </row>
    <row r="8" spans="2:16" x14ac:dyDescent="0.25">
      <c r="B8" s="195"/>
      <c r="C8" s="1230" t="s">
        <v>177</v>
      </c>
      <c r="D8" s="1177"/>
      <c r="E8" s="1177"/>
      <c r="F8" s="1177"/>
      <c r="G8" s="1177"/>
      <c r="H8" s="1231"/>
      <c r="I8" s="196"/>
      <c r="J8" s="197"/>
      <c r="K8" s="198"/>
      <c r="L8" s="5"/>
    </row>
    <row r="9" spans="2:16" x14ac:dyDescent="0.25">
      <c r="B9" s="195">
        <v>1</v>
      </c>
      <c r="C9" s="1190" t="s">
        <v>453</v>
      </c>
      <c r="D9" s="1180"/>
      <c r="E9" s="1180"/>
      <c r="F9" s="1180"/>
      <c r="G9" s="1180"/>
      <c r="H9" s="1191"/>
      <c r="I9" s="196"/>
      <c r="J9" s="197"/>
      <c r="K9" s="888">
        <v>7492467594</v>
      </c>
      <c r="L9" s="200"/>
      <c r="M9" s="201"/>
      <c r="N9" s="201"/>
      <c r="O9" s="201"/>
      <c r="P9" s="201"/>
    </row>
    <row r="10" spans="2:16" x14ac:dyDescent="0.25">
      <c r="B10" s="195">
        <v>2</v>
      </c>
      <c r="C10" s="1190" t="s">
        <v>178</v>
      </c>
      <c r="D10" s="1180"/>
      <c r="E10" s="1180"/>
      <c r="F10" s="1180"/>
      <c r="G10" s="1180"/>
      <c r="H10" s="1191"/>
      <c r="I10" s="1192">
        <v>4340124516</v>
      </c>
      <c r="J10" s="1193"/>
      <c r="K10" s="1208"/>
      <c r="L10" s="5"/>
    </row>
    <row r="11" spans="2:16" x14ac:dyDescent="0.25">
      <c r="B11" s="195">
        <v>3</v>
      </c>
      <c r="C11" s="202" t="s">
        <v>179</v>
      </c>
      <c r="D11" s="200"/>
      <c r="E11" s="200"/>
      <c r="F11" s="200"/>
      <c r="G11" s="200"/>
      <c r="H11" s="203"/>
      <c r="I11" s="204"/>
      <c r="J11" s="205"/>
      <c r="K11" s="199">
        <f>K9-I10</f>
        <v>3152343078</v>
      </c>
      <c r="L11" s="5"/>
    </row>
    <row r="12" spans="2:16" x14ac:dyDescent="0.25">
      <c r="B12" s="195">
        <v>3</v>
      </c>
      <c r="C12" s="1190" t="s">
        <v>180</v>
      </c>
      <c r="D12" s="1180"/>
      <c r="E12" s="1180"/>
      <c r="F12" s="1180"/>
      <c r="G12" s="1180"/>
      <c r="H12" s="1191"/>
      <c r="I12" s="1192">
        <f>K11*22.5%</f>
        <v>709277192.55000007</v>
      </c>
      <c r="J12" s="1193"/>
      <c r="K12" s="1208"/>
      <c r="L12" s="5"/>
    </row>
    <row r="13" spans="2:16" x14ac:dyDescent="0.25">
      <c r="B13" s="195">
        <v>4</v>
      </c>
      <c r="C13" s="1190" t="s">
        <v>181</v>
      </c>
      <c r="D13" s="1180"/>
      <c r="E13" s="1180"/>
      <c r="F13" s="1180"/>
      <c r="G13" s="1180"/>
      <c r="H13" s="1191"/>
      <c r="I13" s="1192">
        <f>I10*22.5%</f>
        <v>976528016.10000002</v>
      </c>
      <c r="J13" s="1193"/>
      <c r="K13" s="1208"/>
      <c r="L13" s="5"/>
    </row>
    <row r="14" spans="2:16" x14ac:dyDescent="0.25">
      <c r="B14" s="195">
        <v>5</v>
      </c>
      <c r="C14" s="1190" t="s">
        <v>454</v>
      </c>
      <c r="D14" s="1180"/>
      <c r="E14" s="1180"/>
      <c r="F14" s="1180"/>
      <c r="G14" s="1180"/>
      <c r="H14" s="1191"/>
      <c r="I14" s="1215"/>
      <c r="J14" s="1216"/>
      <c r="K14" s="1217"/>
      <c r="L14" s="5"/>
    </row>
    <row r="15" spans="2:16" x14ac:dyDescent="0.25">
      <c r="B15" s="195"/>
      <c r="C15" s="1190" t="s">
        <v>455</v>
      </c>
      <c r="D15" s="1180"/>
      <c r="E15" s="1180"/>
      <c r="F15" s="1180"/>
      <c r="G15" s="1180"/>
      <c r="H15" s="1191"/>
      <c r="I15" s="1192">
        <f>I12*60%</f>
        <v>425566315.53000003</v>
      </c>
      <c r="J15" s="1193"/>
      <c r="K15" s="1208"/>
      <c r="L15" s="5"/>
    </row>
    <row r="16" spans="2:16" ht="15.75" thickBot="1" x14ac:dyDescent="0.3">
      <c r="B16" s="195"/>
      <c r="C16" s="1190" t="s">
        <v>456</v>
      </c>
      <c r="D16" s="1180"/>
      <c r="E16" s="1180"/>
      <c r="F16" s="1180"/>
      <c r="G16" s="1180"/>
      <c r="H16" s="1191"/>
      <c r="I16" s="1192">
        <f>I12*30%</f>
        <v>212783157.76500002</v>
      </c>
      <c r="J16" s="1193"/>
      <c r="K16" s="1208"/>
      <c r="L16" s="5"/>
    </row>
    <row r="17" spans="2:12" ht="15.75" thickBot="1" x14ac:dyDescent="0.3">
      <c r="B17" s="195"/>
      <c r="C17" s="1218" t="s">
        <v>457</v>
      </c>
      <c r="D17" s="1219"/>
      <c r="E17" s="1219"/>
      <c r="F17" s="1219"/>
      <c r="G17" s="1219"/>
      <c r="H17" s="1220"/>
      <c r="I17" s="1221">
        <f>I12*10%</f>
        <v>70927719.25500001</v>
      </c>
      <c r="J17" s="1222"/>
      <c r="K17" s="1223"/>
      <c r="L17" s="5"/>
    </row>
    <row r="18" spans="2:12" ht="15.75" thickBot="1" x14ac:dyDescent="0.3">
      <c r="B18" s="195"/>
      <c r="C18" s="1190" t="s">
        <v>182</v>
      </c>
      <c r="D18" s="1180"/>
      <c r="E18" s="1180"/>
      <c r="F18" s="1180"/>
      <c r="G18" s="1180"/>
      <c r="H18" s="1191"/>
      <c r="I18" s="206">
        <f>SUM(I15:I17)</f>
        <v>709277192.55000007</v>
      </c>
      <c r="J18" s="207"/>
      <c r="K18" s="199">
        <f>SUM(I18)</f>
        <v>709277192.55000007</v>
      </c>
      <c r="L18" s="110"/>
    </row>
    <row r="19" spans="2:12" ht="15.75" thickBot="1" x14ac:dyDescent="0.3">
      <c r="B19" s="208">
        <v>6</v>
      </c>
      <c r="C19" s="1209" t="s">
        <v>458</v>
      </c>
      <c r="D19" s="1210"/>
      <c r="E19" s="1210"/>
      <c r="F19" s="1210"/>
      <c r="G19" s="1210"/>
      <c r="H19" s="1211"/>
      <c r="I19" s="1212">
        <f>I12+I13</f>
        <v>1685805208.6500001</v>
      </c>
      <c r="J19" s="1213"/>
      <c r="K19" s="1214"/>
      <c r="L19" s="5"/>
    </row>
    <row r="20" spans="2:12" x14ac:dyDescent="0.25">
      <c r="B20" s="562"/>
      <c r="C20" s="1202"/>
      <c r="D20" s="1202"/>
      <c r="E20" s="1202"/>
      <c r="F20" s="1202"/>
      <c r="G20" s="1202"/>
      <c r="H20" s="1202"/>
      <c r="I20" s="1203"/>
      <c r="J20" s="1204"/>
      <c r="K20" s="1205"/>
      <c r="L20" s="5"/>
    </row>
    <row r="21" spans="2:12" x14ac:dyDescent="0.25">
      <c r="B21" s="563"/>
      <c r="C21" s="1177" t="s">
        <v>183</v>
      </c>
      <c r="D21" s="1177"/>
      <c r="E21" s="1177"/>
      <c r="F21" s="1177"/>
      <c r="G21" s="1177"/>
      <c r="H21" s="1177"/>
      <c r="I21" s="1207"/>
      <c r="J21" s="1193"/>
      <c r="K21" s="1208"/>
      <c r="L21" s="5"/>
    </row>
    <row r="22" spans="2:12" x14ac:dyDescent="0.25">
      <c r="B22" s="563">
        <v>7</v>
      </c>
      <c r="C22" s="1180" t="s">
        <v>459</v>
      </c>
      <c r="D22" s="1180"/>
      <c r="E22" s="1180"/>
      <c r="F22" s="1180"/>
      <c r="G22" s="1180"/>
      <c r="H22" s="1180"/>
      <c r="I22" s="515"/>
      <c r="J22" s="516"/>
      <c r="K22" s="888">
        <v>604667887</v>
      </c>
      <c r="L22" s="5"/>
    </row>
    <row r="23" spans="2:12" x14ac:dyDescent="0.25">
      <c r="B23" s="563">
        <v>8</v>
      </c>
      <c r="C23" s="1180" t="s">
        <v>184</v>
      </c>
      <c r="D23" s="1180"/>
      <c r="E23" s="1180"/>
      <c r="F23" s="1180"/>
      <c r="G23" s="1180"/>
      <c r="H23" s="1180"/>
      <c r="I23" s="515"/>
      <c r="J23" s="516"/>
      <c r="K23" s="518">
        <v>432473544</v>
      </c>
      <c r="L23" s="5"/>
    </row>
    <row r="24" spans="2:12" x14ac:dyDescent="0.25">
      <c r="B24" s="563">
        <v>9</v>
      </c>
      <c r="C24" s="514" t="s">
        <v>460</v>
      </c>
      <c r="D24" s="514"/>
      <c r="E24" s="514"/>
      <c r="F24" s="514"/>
      <c r="G24" s="514"/>
      <c r="H24" s="514"/>
      <c r="I24" s="515"/>
      <c r="J24" s="516"/>
      <c r="K24" s="518">
        <f>K22-K23</f>
        <v>172194343</v>
      </c>
      <c r="L24" s="5"/>
    </row>
    <row r="25" spans="2:12" x14ac:dyDescent="0.25">
      <c r="B25" s="563">
        <v>10</v>
      </c>
      <c r="C25" s="1180" t="s">
        <v>185</v>
      </c>
      <c r="D25" s="1180"/>
      <c r="E25" s="1180"/>
      <c r="F25" s="1180"/>
      <c r="G25" s="1180"/>
      <c r="H25" s="1180"/>
      <c r="I25" s="515"/>
      <c r="J25" s="516"/>
      <c r="K25" s="518">
        <f>K24</f>
        <v>172194343</v>
      </c>
      <c r="L25" s="5"/>
    </row>
    <row r="26" spans="2:12" x14ac:dyDescent="0.25">
      <c r="B26" s="563"/>
      <c r="C26" s="1197" t="s">
        <v>461</v>
      </c>
      <c r="D26" s="1180"/>
      <c r="E26" s="1180"/>
      <c r="F26" s="1180"/>
      <c r="G26" s="1180"/>
      <c r="H26" s="1198"/>
      <c r="I26" s="559"/>
      <c r="J26" s="560"/>
      <c r="K26" s="518">
        <f>K25*70%</f>
        <v>120536040.09999999</v>
      </c>
      <c r="L26" s="5"/>
    </row>
    <row r="27" spans="2:12" x14ac:dyDescent="0.25">
      <c r="B27" s="563"/>
      <c r="C27" s="561">
        <v>0.5</v>
      </c>
      <c r="D27" s="514"/>
      <c r="E27" s="514"/>
      <c r="F27" s="514"/>
      <c r="G27" s="514"/>
      <c r="H27" s="517"/>
      <c r="I27" s="559"/>
      <c r="J27" s="560"/>
      <c r="K27" s="518">
        <f>K26*C27</f>
        <v>60268020.049999997</v>
      </c>
      <c r="L27" s="5"/>
    </row>
    <row r="28" spans="2:12" x14ac:dyDescent="0.25">
      <c r="B28" s="563"/>
      <c r="C28" s="561">
        <v>0.5</v>
      </c>
      <c r="D28" s="514"/>
      <c r="E28" s="514"/>
      <c r="F28" s="514"/>
      <c r="G28" s="514"/>
      <c r="H28" s="517"/>
      <c r="I28" s="559"/>
      <c r="J28" s="560"/>
      <c r="K28" s="518">
        <f>K26*C28</f>
        <v>60268020.049999997</v>
      </c>
      <c r="L28" s="5"/>
    </row>
    <row r="29" spans="2:12" x14ac:dyDescent="0.25">
      <c r="B29" s="563"/>
      <c r="C29" s="1197" t="s">
        <v>462</v>
      </c>
      <c r="D29" s="1180"/>
      <c r="E29" s="1180"/>
      <c r="F29" s="1180"/>
      <c r="G29" s="1180"/>
      <c r="H29" s="1198"/>
      <c r="I29" s="559"/>
      <c r="J29" s="560"/>
      <c r="K29" s="518">
        <f>K25*30%</f>
        <v>51658302.899999999</v>
      </c>
      <c r="L29" s="5"/>
    </row>
    <row r="30" spans="2:12" ht="15.75" thickBot="1" x14ac:dyDescent="0.3">
      <c r="B30" s="563"/>
      <c r="C30" s="1195" t="s">
        <v>326</v>
      </c>
      <c r="D30" s="1195"/>
      <c r="E30" s="1195"/>
      <c r="F30" s="1195"/>
      <c r="G30" s="1195"/>
      <c r="H30" s="1195"/>
      <c r="I30" s="564"/>
      <c r="J30" s="565"/>
      <c r="K30" s="566">
        <f>K26+K29</f>
        <v>172194343</v>
      </c>
      <c r="L30" s="5"/>
    </row>
    <row r="31" spans="2:12" ht="15.75" thickBot="1" x14ac:dyDescent="0.3">
      <c r="B31" s="567">
        <v>8</v>
      </c>
      <c r="C31" s="1206" t="s">
        <v>463</v>
      </c>
      <c r="D31" s="1206"/>
      <c r="E31" s="1206"/>
      <c r="F31" s="1206"/>
      <c r="G31" s="1206"/>
      <c r="H31" s="1206"/>
      <c r="I31" s="568"/>
      <c r="J31" s="569"/>
      <c r="K31" s="570">
        <f>K23+K24</f>
        <v>604667887</v>
      </c>
      <c r="L31" s="5"/>
    </row>
    <row r="32" spans="2:12" x14ac:dyDescent="0.25">
      <c r="B32" s="562"/>
      <c r="C32" s="571"/>
      <c r="D32" s="572"/>
      <c r="E32" s="572"/>
      <c r="F32" s="572"/>
      <c r="G32" s="572"/>
      <c r="H32" s="573"/>
      <c r="I32" s="574"/>
      <c r="J32" s="575"/>
      <c r="K32" s="576"/>
      <c r="L32" s="5"/>
    </row>
    <row r="33" spans="2:15" x14ac:dyDescent="0.25">
      <c r="B33" s="563"/>
      <c r="C33" s="1176" t="s">
        <v>186</v>
      </c>
      <c r="D33" s="1177"/>
      <c r="E33" s="1177"/>
      <c r="F33" s="1177"/>
      <c r="G33" s="1177"/>
      <c r="H33" s="1178"/>
      <c r="I33" s="515"/>
      <c r="J33" s="516"/>
      <c r="K33" s="889">
        <v>420326886</v>
      </c>
      <c r="L33" s="5"/>
    </row>
    <row r="34" spans="2:15" x14ac:dyDescent="0.25">
      <c r="B34" s="563">
        <v>9</v>
      </c>
      <c r="C34" s="1180" t="s">
        <v>464</v>
      </c>
      <c r="D34" s="1180"/>
      <c r="E34" s="1180"/>
      <c r="F34" s="1180"/>
      <c r="G34" s="1180"/>
      <c r="H34" s="1180"/>
      <c r="I34" s="515"/>
      <c r="J34" s="516"/>
      <c r="K34" s="518">
        <f>K33*22.5%</f>
        <v>94573549.350000009</v>
      </c>
      <c r="L34" s="110">
        <f>K34*22.5%</f>
        <v>21279048.603750002</v>
      </c>
    </row>
    <row r="35" spans="2:15" ht="15.75" thickBot="1" x14ac:dyDescent="0.3">
      <c r="B35" s="563">
        <v>10</v>
      </c>
      <c r="C35" s="1180" t="s">
        <v>187</v>
      </c>
      <c r="D35" s="1180"/>
      <c r="E35" s="1180"/>
      <c r="F35" s="1180"/>
      <c r="G35" s="1180"/>
      <c r="H35" s="1180"/>
      <c r="I35" s="515"/>
      <c r="J35" s="516"/>
      <c r="K35" s="518">
        <v>44079525</v>
      </c>
      <c r="L35" s="110">
        <f>K35*0.225</f>
        <v>9917893.125</v>
      </c>
      <c r="N35" s="512"/>
    </row>
    <row r="36" spans="2:15" ht="15.75" thickBot="1" x14ac:dyDescent="0.3">
      <c r="B36" s="577">
        <v>11</v>
      </c>
      <c r="C36" s="580" t="s">
        <v>465</v>
      </c>
      <c r="D36" s="581"/>
      <c r="E36" s="581"/>
      <c r="F36" s="581"/>
      <c r="G36" s="581"/>
      <c r="H36" s="582"/>
      <c r="I36" s="569"/>
      <c r="J36" s="569"/>
      <c r="K36" s="570">
        <f>K34-K35</f>
        <v>50494024.350000009</v>
      </c>
      <c r="L36" s="110">
        <f>K36*22.5%</f>
        <v>11361155.478750002</v>
      </c>
    </row>
    <row r="37" spans="2:15" x14ac:dyDescent="0.25">
      <c r="B37" s="562"/>
      <c r="C37" s="571"/>
      <c r="D37" s="572"/>
      <c r="E37" s="572"/>
      <c r="F37" s="572"/>
      <c r="G37" s="572"/>
      <c r="H37" s="573"/>
      <c r="I37" s="574"/>
      <c r="J37" s="575"/>
      <c r="K37" s="576"/>
      <c r="L37" s="5"/>
    </row>
    <row r="38" spans="2:15" x14ac:dyDescent="0.25">
      <c r="B38" s="563"/>
      <c r="C38" s="1176" t="s">
        <v>188</v>
      </c>
      <c r="D38" s="1177"/>
      <c r="E38" s="1177"/>
      <c r="F38" s="1177"/>
      <c r="G38" s="1177"/>
      <c r="H38" s="1178"/>
      <c r="I38" s="1199">
        <v>388884231</v>
      </c>
      <c r="J38" s="1200"/>
      <c r="K38" s="1201"/>
      <c r="L38" s="5"/>
    </row>
    <row r="39" spans="2:15" x14ac:dyDescent="0.25">
      <c r="B39" s="563">
        <v>12</v>
      </c>
      <c r="C39" s="1180" t="s">
        <v>466</v>
      </c>
      <c r="D39" s="1180"/>
      <c r="E39" s="1180"/>
      <c r="F39" s="1180"/>
      <c r="G39" s="1180"/>
      <c r="H39" s="1180"/>
      <c r="I39" s="552">
        <f>I38</f>
        <v>388884231</v>
      </c>
      <c r="J39" s="553"/>
      <c r="K39" s="583">
        <f>I39*22.5%</f>
        <v>87498951.975000009</v>
      </c>
      <c r="L39" s="110"/>
    </row>
    <row r="40" spans="2:15" ht="15.75" thickBot="1" x14ac:dyDescent="0.3">
      <c r="B40" s="563">
        <v>13</v>
      </c>
      <c r="C40" s="1180" t="s">
        <v>187</v>
      </c>
      <c r="D40" s="1180"/>
      <c r="E40" s="1180"/>
      <c r="F40" s="1180"/>
      <c r="G40" s="1180"/>
      <c r="H40" s="1180"/>
      <c r="I40" s="557">
        <v>337311000</v>
      </c>
      <c r="J40" s="516"/>
      <c r="K40" s="518">
        <v>75894975</v>
      </c>
      <c r="L40" s="110">
        <f>K40/22.5%</f>
        <v>337311000</v>
      </c>
      <c r="M40" s="104"/>
    </row>
    <row r="41" spans="2:15" ht="15.75" thickBot="1" x14ac:dyDescent="0.3">
      <c r="B41" s="577">
        <v>14</v>
      </c>
      <c r="C41" s="580" t="s">
        <v>467</v>
      </c>
      <c r="D41" s="581"/>
      <c r="E41" s="581"/>
      <c r="F41" s="581"/>
      <c r="G41" s="581"/>
      <c r="H41" s="582"/>
      <c r="I41" s="596">
        <f>I39-I40</f>
        <v>51573231</v>
      </c>
      <c r="J41" s="569"/>
      <c r="K41" s="570">
        <f>K39-K40</f>
        <v>11603976.975000009</v>
      </c>
      <c r="L41" s="110"/>
      <c r="M41" s="104"/>
      <c r="O41" s="104">
        <v>10658090</v>
      </c>
    </row>
    <row r="42" spans="2:15" x14ac:dyDescent="0.25">
      <c r="B42" s="562"/>
      <c r="C42" s="585"/>
      <c r="D42" s="585"/>
      <c r="E42" s="585"/>
      <c r="F42" s="585"/>
      <c r="G42" s="585"/>
      <c r="H42" s="585"/>
      <c r="I42" s="574"/>
      <c r="J42" s="575"/>
      <c r="K42" s="576"/>
      <c r="L42" s="110"/>
      <c r="M42" s="104"/>
      <c r="O42" s="512">
        <v>0.22500000000000001</v>
      </c>
    </row>
    <row r="43" spans="2:15" x14ac:dyDescent="0.25">
      <c r="B43" s="563"/>
      <c r="C43" s="1176" t="s">
        <v>189</v>
      </c>
      <c r="D43" s="1177"/>
      <c r="E43" s="1177"/>
      <c r="F43" s="1177"/>
      <c r="G43" s="1177"/>
      <c r="H43" s="1178"/>
      <c r="I43" s="554"/>
      <c r="J43" s="555"/>
      <c r="K43" s="890">
        <v>882589157</v>
      </c>
      <c r="L43" s="5"/>
      <c r="O43" s="104">
        <f>O41*O42</f>
        <v>2398070.25</v>
      </c>
    </row>
    <row r="44" spans="2:15" x14ac:dyDescent="0.25">
      <c r="B44" s="563">
        <v>15</v>
      </c>
      <c r="C44" s="1180" t="s">
        <v>468</v>
      </c>
      <c r="D44" s="1180"/>
      <c r="E44" s="1180"/>
      <c r="F44" s="1180"/>
      <c r="G44" s="1180"/>
      <c r="H44" s="1180"/>
      <c r="I44" s="552"/>
      <c r="J44" s="553"/>
      <c r="K44" s="586">
        <f>K43*22.8%</f>
        <v>201230327.796</v>
      </c>
      <c r="L44" s="5"/>
    </row>
    <row r="45" spans="2:15" ht="15.75" thickBot="1" x14ac:dyDescent="0.3">
      <c r="B45" s="563">
        <v>16</v>
      </c>
      <c r="C45" s="1180" t="s">
        <v>190</v>
      </c>
      <c r="D45" s="1180"/>
      <c r="E45" s="1180"/>
      <c r="F45" s="1180"/>
      <c r="G45" s="1180"/>
      <c r="H45" s="1180"/>
      <c r="I45" s="515"/>
      <c r="J45" s="516"/>
      <c r="K45" s="518">
        <v>0</v>
      </c>
      <c r="L45" s="5"/>
    </row>
    <row r="46" spans="2:15" ht="15.75" thickBot="1" x14ac:dyDescent="0.3">
      <c r="B46" s="577">
        <v>17</v>
      </c>
      <c r="C46" s="580" t="s">
        <v>469</v>
      </c>
      <c r="D46" s="581"/>
      <c r="E46" s="581"/>
      <c r="F46" s="581"/>
      <c r="G46" s="581"/>
      <c r="H46" s="582"/>
      <c r="I46" s="568"/>
      <c r="J46" s="569"/>
      <c r="K46" s="570">
        <f>K44-K45</f>
        <v>201230327.796</v>
      </c>
      <c r="L46" s="5"/>
    </row>
    <row r="47" spans="2:15" x14ac:dyDescent="0.25">
      <c r="B47" s="562"/>
      <c r="C47" s="585"/>
      <c r="D47" s="585"/>
      <c r="E47" s="585"/>
      <c r="F47" s="585"/>
      <c r="G47" s="585"/>
      <c r="H47" s="585"/>
      <c r="I47" s="574"/>
      <c r="J47" s="575"/>
      <c r="K47" s="576"/>
      <c r="L47" s="5"/>
    </row>
    <row r="48" spans="2:15" x14ac:dyDescent="0.25">
      <c r="B48" s="563"/>
      <c r="C48" s="1176" t="s">
        <v>191</v>
      </c>
      <c r="D48" s="1177"/>
      <c r="E48" s="1177"/>
      <c r="F48" s="1177"/>
      <c r="G48" s="1177"/>
      <c r="H48" s="1178"/>
      <c r="I48" s="515"/>
      <c r="J48" s="516"/>
      <c r="K48" s="889">
        <v>153029680</v>
      </c>
      <c r="L48" s="5"/>
    </row>
    <row r="49" spans="2:15" x14ac:dyDescent="0.25">
      <c r="B49" s="563">
        <v>18</v>
      </c>
      <c r="C49" s="1180" t="s">
        <v>470</v>
      </c>
      <c r="D49" s="1180"/>
      <c r="E49" s="1180"/>
      <c r="F49" s="1180"/>
      <c r="G49" s="1180"/>
      <c r="H49" s="1180"/>
      <c r="I49" s="515"/>
      <c r="J49" s="516"/>
      <c r="K49" s="518">
        <f>K48*22.5%</f>
        <v>34431678</v>
      </c>
      <c r="L49" s="110">
        <f>K49*0.225</f>
        <v>7747127.5499999998</v>
      </c>
    </row>
    <row r="50" spans="2:15" ht="15.75" thickBot="1" x14ac:dyDescent="0.3">
      <c r="B50" s="563">
        <v>19</v>
      </c>
      <c r="C50" s="1180" t="s">
        <v>192</v>
      </c>
      <c r="D50" s="1180"/>
      <c r="E50" s="1180"/>
      <c r="F50" s="1180"/>
      <c r="G50" s="1180"/>
      <c r="H50" s="1180"/>
      <c r="I50" s="515"/>
      <c r="J50" s="516"/>
      <c r="K50" s="518">
        <v>20610000</v>
      </c>
      <c r="L50" s="110">
        <f>K50*0.225</f>
        <v>4637250</v>
      </c>
    </row>
    <row r="51" spans="2:15" ht="15.75" thickBot="1" x14ac:dyDescent="0.3">
      <c r="B51" s="577">
        <v>20</v>
      </c>
      <c r="C51" s="580" t="s">
        <v>471</v>
      </c>
      <c r="D51" s="581"/>
      <c r="E51" s="581"/>
      <c r="F51" s="581"/>
      <c r="G51" s="581"/>
      <c r="H51" s="582"/>
      <c r="I51" s="568"/>
      <c r="J51" s="569"/>
      <c r="K51" s="570">
        <f>K49-K50</f>
        <v>13821678</v>
      </c>
      <c r="L51" s="110">
        <f>K51*0.225</f>
        <v>3109877.5500000003</v>
      </c>
    </row>
    <row r="52" spans="2:15" x14ac:dyDescent="0.25">
      <c r="B52" s="587"/>
      <c r="C52" s="571"/>
      <c r="D52" s="572"/>
      <c r="E52" s="572"/>
      <c r="F52" s="572"/>
      <c r="G52" s="572"/>
      <c r="H52" s="573"/>
      <c r="I52" s="574"/>
      <c r="J52" s="575"/>
      <c r="K52" s="576"/>
      <c r="L52" s="110"/>
    </row>
    <row r="53" spans="2:15" x14ac:dyDescent="0.25">
      <c r="B53" s="592"/>
      <c r="C53" s="1176" t="s">
        <v>193</v>
      </c>
      <c r="D53" s="1177"/>
      <c r="E53" s="1177"/>
      <c r="F53" s="1177"/>
      <c r="G53" s="1177"/>
      <c r="H53" s="1178"/>
      <c r="I53" s="515"/>
      <c r="J53" s="516"/>
      <c r="K53" s="891">
        <v>265620642</v>
      </c>
      <c r="L53" s="5"/>
    </row>
    <row r="54" spans="2:15" x14ac:dyDescent="0.25">
      <c r="B54" s="592">
        <v>21</v>
      </c>
      <c r="C54" s="1197" t="s">
        <v>472</v>
      </c>
      <c r="D54" s="1180"/>
      <c r="E54" s="1180"/>
      <c r="F54" s="1180"/>
      <c r="G54" s="1180"/>
      <c r="H54" s="1198"/>
      <c r="I54" s="515"/>
      <c r="J54" s="516"/>
      <c r="K54" s="518">
        <f>K53*22.5%</f>
        <v>59764644.450000003</v>
      </c>
      <c r="L54" s="110">
        <f>K54*0.225</f>
        <v>13447045.001250001</v>
      </c>
    </row>
    <row r="55" spans="2:15" ht="15.75" thickBot="1" x14ac:dyDescent="0.3">
      <c r="B55" s="592">
        <v>22</v>
      </c>
      <c r="C55" s="1194" t="s">
        <v>192</v>
      </c>
      <c r="D55" s="1195"/>
      <c r="E55" s="1195"/>
      <c r="F55" s="1195"/>
      <c r="G55" s="1195"/>
      <c r="H55" s="1196"/>
      <c r="I55" s="515"/>
      <c r="J55" s="516"/>
      <c r="K55" s="518">
        <v>38873250</v>
      </c>
      <c r="L55" s="110">
        <f>K55*0.225</f>
        <v>8746481.25</v>
      </c>
    </row>
    <row r="56" spans="2:15" ht="15.75" thickBot="1" x14ac:dyDescent="0.3">
      <c r="B56" s="567">
        <v>23</v>
      </c>
      <c r="C56" s="519" t="s">
        <v>473</v>
      </c>
      <c r="D56" s="520"/>
      <c r="E56" s="520"/>
      <c r="F56" s="520"/>
      <c r="G56" s="520"/>
      <c r="H56" s="521"/>
      <c r="I56" s="584"/>
      <c r="J56" s="578"/>
      <c r="K56" s="579">
        <f>K54-K55</f>
        <v>20891394.450000003</v>
      </c>
      <c r="L56" s="110">
        <f>K56*0.225</f>
        <v>4700563.7512500007</v>
      </c>
    </row>
    <row r="57" spans="2:15" x14ac:dyDescent="0.25">
      <c r="B57" s="593"/>
      <c r="C57" s="588"/>
      <c r="D57" s="585"/>
      <c r="E57" s="585"/>
      <c r="F57" s="585"/>
      <c r="G57" s="585"/>
      <c r="H57" s="589"/>
      <c r="I57" s="574"/>
      <c r="J57" s="575"/>
      <c r="K57" s="576"/>
      <c r="L57" s="5"/>
      <c r="O57" s="209"/>
    </row>
    <row r="58" spans="2:15" x14ac:dyDescent="0.25">
      <c r="B58" s="590"/>
      <c r="C58" s="1176" t="s">
        <v>194</v>
      </c>
      <c r="D58" s="1177"/>
      <c r="E58" s="1177"/>
      <c r="F58" s="1177"/>
      <c r="G58" s="1177"/>
      <c r="H58" s="1178"/>
      <c r="I58" s="515"/>
      <c r="J58" s="516"/>
      <c r="K58" s="889">
        <v>53130978</v>
      </c>
      <c r="L58" s="110"/>
      <c r="O58" s="137"/>
    </row>
    <row r="59" spans="2:15" x14ac:dyDescent="0.25">
      <c r="B59" s="590">
        <v>24</v>
      </c>
      <c r="C59" s="1197" t="s">
        <v>474</v>
      </c>
      <c r="D59" s="1180"/>
      <c r="E59" s="1180"/>
      <c r="F59" s="1180"/>
      <c r="G59" s="1180"/>
      <c r="H59" s="1198"/>
      <c r="I59" s="515"/>
      <c r="J59" s="516"/>
      <c r="K59" s="518">
        <f>K58*22.5%</f>
        <v>11954470.050000001</v>
      </c>
      <c r="L59" s="110">
        <f>K59*0.225</f>
        <v>2689755.7612500004</v>
      </c>
      <c r="O59" s="210"/>
    </row>
    <row r="60" spans="2:15" ht="15.75" thickBot="1" x14ac:dyDescent="0.3">
      <c r="B60" s="590">
        <v>25</v>
      </c>
      <c r="C60" s="1194"/>
      <c r="D60" s="1195"/>
      <c r="E60" s="1195"/>
      <c r="F60" s="1195"/>
      <c r="G60" s="1195"/>
      <c r="H60" s="1196"/>
      <c r="I60" s="515"/>
      <c r="J60" s="516"/>
      <c r="K60" s="518"/>
      <c r="L60" s="110">
        <f>K60*0.225</f>
        <v>0</v>
      </c>
    </row>
    <row r="61" spans="2:15" ht="15.75" thickBot="1" x14ac:dyDescent="0.3">
      <c r="B61" s="577">
        <v>26</v>
      </c>
      <c r="C61" s="580" t="s">
        <v>475</v>
      </c>
      <c r="D61" s="581"/>
      <c r="E61" s="581"/>
      <c r="F61" s="581"/>
      <c r="G61" s="581"/>
      <c r="H61" s="582"/>
      <c r="I61" s="568"/>
      <c r="J61" s="569"/>
      <c r="K61" s="570">
        <f>K59-K60</f>
        <v>11954470.050000001</v>
      </c>
      <c r="L61" s="110">
        <f>K61*0.225</f>
        <v>2689755.7612500004</v>
      </c>
    </row>
    <row r="62" spans="2:15" x14ac:dyDescent="0.25">
      <c r="B62" s="562"/>
      <c r="C62" s="588"/>
      <c r="D62" s="585"/>
      <c r="E62" s="585"/>
      <c r="F62" s="585"/>
      <c r="G62" s="585"/>
      <c r="H62" s="589"/>
      <c r="I62" s="574"/>
      <c r="J62" s="575"/>
      <c r="K62" s="576"/>
      <c r="L62" s="110"/>
    </row>
    <row r="63" spans="2:15" x14ac:dyDescent="0.25">
      <c r="B63" s="563"/>
      <c r="C63" s="1176" t="s">
        <v>195</v>
      </c>
      <c r="D63" s="1177"/>
      <c r="E63" s="1177"/>
      <c r="F63" s="1177"/>
      <c r="G63" s="1177"/>
      <c r="H63" s="1178"/>
      <c r="I63" s="515"/>
      <c r="J63" s="516"/>
      <c r="K63" s="889">
        <v>12592248</v>
      </c>
      <c r="L63" s="110"/>
    </row>
    <row r="64" spans="2:15" x14ac:dyDescent="0.25">
      <c r="B64" s="563">
        <v>27</v>
      </c>
      <c r="C64" s="1179" t="s">
        <v>476</v>
      </c>
      <c r="D64" s="1179"/>
      <c r="E64" s="1179"/>
      <c r="F64" s="1179"/>
      <c r="G64" s="1179"/>
      <c r="H64" s="1179"/>
      <c r="I64" s="515"/>
      <c r="J64" s="516"/>
      <c r="K64" s="518">
        <f>K63*22.5%</f>
        <v>2833255.8000000003</v>
      </c>
      <c r="L64" s="110">
        <f>K64*0.225</f>
        <v>637482.55500000005</v>
      </c>
    </row>
    <row r="65" spans="2:13" ht="15.75" thickBot="1" x14ac:dyDescent="0.3">
      <c r="B65" s="563">
        <v>28</v>
      </c>
      <c r="C65" s="1180"/>
      <c r="D65" s="1180"/>
      <c r="E65" s="1180"/>
      <c r="F65" s="1180"/>
      <c r="G65" s="1180"/>
      <c r="H65" s="1180"/>
      <c r="I65" s="515"/>
      <c r="J65" s="516"/>
      <c r="K65" s="518"/>
      <c r="L65" s="5"/>
    </row>
    <row r="66" spans="2:13" ht="15.75" thickBot="1" x14ac:dyDescent="0.3">
      <c r="B66" s="577">
        <v>29</v>
      </c>
      <c r="C66" s="519"/>
      <c r="D66" s="520"/>
      <c r="E66" s="520"/>
      <c r="F66" s="520"/>
      <c r="G66" s="520"/>
      <c r="H66" s="521"/>
      <c r="I66" s="584"/>
      <c r="J66" s="578"/>
      <c r="K66" s="522">
        <f>K64-K65</f>
        <v>2833255.8000000003</v>
      </c>
      <c r="L66" s="5"/>
    </row>
    <row r="67" spans="2:13" ht="15.75" thickBot="1" x14ac:dyDescent="0.3">
      <c r="B67" s="591"/>
      <c r="C67" s="1181" t="s">
        <v>65</v>
      </c>
      <c r="D67" s="1182"/>
      <c r="E67" s="1182"/>
      <c r="F67" s="1182"/>
      <c r="G67" s="1182"/>
      <c r="H67" s="1183"/>
      <c r="I67" s="1184"/>
      <c r="J67" s="1185"/>
      <c r="K67" s="1186"/>
      <c r="L67" s="5"/>
    </row>
    <row r="68" spans="2:13" ht="15.75" thickBot="1" x14ac:dyDescent="0.3">
      <c r="B68" s="1188" t="s">
        <v>425</v>
      </c>
      <c r="C68" s="1189"/>
      <c r="D68" s="1189"/>
      <c r="E68" s="1189"/>
      <c r="F68" s="1189"/>
      <c r="G68" s="1189"/>
      <c r="H68" s="1189"/>
      <c r="I68" s="1189"/>
      <c r="J68" s="1189"/>
      <c r="K68" s="1189"/>
      <c r="L68" s="5"/>
    </row>
    <row r="69" spans="2:13" x14ac:dyDescent="0.25">
      <c r="B69" s="195">
        <v>1</v>
      </c>
      <c r="C69" s="1190" t="s">
        <v>477</v>
      </c>
      <c r="D69" s="1180"/>
      <c r="E69" s="1180"/>
      <c r="F69" s="1180"/>
      <c r="G69" s="1180"/>
      <c r="H69" s="1191"/>
      <c r="I69" s="196"/>
      <c r="J69" s="197"/>
      <c r="K69" s="892">
        <v>35000000</v>
      </c>
      <c r="L69" s="5"/>
      <c r="M69" s="181"/>
    </row>
    <row r="70" spans="2:13" x14ac:dyDescent="0.25">
      <c r="B70" s="195">
        <v>2</v>
      </c>
      <c r="C70" s="1190" t="s">
        <v>404</v>
      </c>
      <c r="D70" s="1180"/>
      <c r="E70" s="1180"/>
      <c r="F70" s="1180"/>
      <c r="G70" s="1180"/>
      <c r="H70" s="1191"/>
      <c r="I70" s="831"/>
      <c r="J70" s="553"/>
      <c r="K70" s="832">
        <v>0</v>
      </c>
      <c r="L70" s="5"/>
      <c r="M70" s="104"/>
    </row>
    <row r="71" spans="2:13" x14ac:dyDescent="0.25">
      <c r="B71" s="195">
        <v>3</v>
      </c>
      <c r="C71" s="774" t="s">
        <v>179</v>
      </c>
      <c r="D71" s="775"/>
      <c r="E71" s="775"/>
      <c r="F71" s="775"/>
      <c r="G71" s="775"/>
      <c r="H71" s="776"/>
      <c r="I71" s="779"/>
      <c r="J71" s="780"/>
      <c r="K71" s="777">
        <f>K69-K70</f>
        <v>35000000</v>
      </c>
      <c r="L71" s="5"/>
    </row>
    <row r="72" spans="2:13" x14ac:dyDescent="0.25">
      <c r="B72" s="195">
        <v>4</v>
      </c>
      <c r="C72" s="1190" t="s">
        <v>180</v>
      </c>
      <c r="D72" s="1180"/>
      <c r="E72" s="1180"/>
      <c r="F72" s="1180"/>
      <c r="G72" s="1180"/>
      <c r="H72" s="1191"/>
      <c r="I72" s="1192">
        <f>K71*20%</f>
        <v>7000000</v>
      </c>
      <c r="J72" s="1193"/>
      <c r="K72" s="1193"/>
      <c r="L72" s="5"/>
      <c r="M72" s="104"/>
    </row>
    <row r="73" spans="2:13" x14ac:dyDescent="0.25">
      <c r="B73" s="195">
        <v>5</v>
      </c>
      <c r="C73" s="1190" t="s">
        <v>181</v>
      </c>
      <c r="D73" s="1180"/>
      <c r="E73" s="1180"/>
      <c r="F73" s="1180"/>
      <c r="G73" s="1180"/>
      <c r="H73" s="1191"/>
      <c r="I73" s="1192">
        <f>K70*22.5%</f>
        <v>0</v>
      </c>
      <c r="J73" s="1193"/>
      <c r="K73" s="1193"/>
      <c r="L73" s="5"/>
    </row>
    <row r="74" spans="2:13" ht="15.75" thickBot="1" x14ac:dyDescent="0.3">
      <c r="B74" s="195">
        <v>6</v>
      </c>
      <c r="C74" s="1190" t="s">
        <v>454</v>
      </c>
      <c r="D74" s="1180"/>
      <c r="E74" s="1180"/>
      <c r="F74" s="1180"/>
      <c r="G74" s="1180"/>
      <c r="H74" s="1191"/>
      <c r="I74" s="1215"/>
      <c r="J74" s="1216"/>
      <c r="K74" s="1216"/>
      <c r="L74" s="5"/>
    </row>
    <row r="75" spans="2:13" x14ac:dyDescent="0.25">
      <c r="B75" s="590"/>
      <c r="C75" s="1232" t="s">
        <v>478</v>
      </c>
      <c r="D75" s="1233"/>
      <c r="E75" s="1233"/>
      <c r="F75" s="1233"/>
      <c r="G75" s="1233"/>
      <c r="H75" s="1233"/>
      <c r="I75" s="1234">
        <f>K71*60%</f>
        <v>21000000</v>
      </c>
      <c r="J75" s="1234"/>
      <c r="K75" s="1235"/>
      <c r="L75" s="5"/>
    </row>
    <row r="76" spans="2:13" x14ac:dyDescent="0.25">
      <c r="B76" s="590"/>
      <c r="C76" s="1240" t="s">
        <v>479</v>
      </c>
      <c r="D76" s="1241"/>
      <c r="E76" s="1241"/>
      <c r="F76" s="1241"/>
      <c r="G76" s="1241"/>
      <c r="H76" s="1241"/>
      <c r="I76" s="1242">
        <f>K71*30%</f>
        <v>10500000</v>
      </c>
      <c r="J76" s="1242"/>
      <c r="K76" s="1243"/>
      <c r="L76" s="5"/>
    </row>
    <row r="77" spans="2:13" x14ac:dyDescent="0.25">
      <c r="B77" s="590"/>
      <c r="C77" s="1240" t="s">
        <v>480</v>
      </c>
      <c r="D77" s="1241"/>
      <c r="E77" s="1241"/>
      <c r="F77" s="1241"/>
      <c r="G77" s="1241"/>
      <c r="H77" s="1241"/>
      <c r="I77" s="1242">
        <f>K71*10%</f>
        <v>3500000</v>
      </c>
      <c r="J77" s="1242"/>
      <c r="K77" s="1243"/>
      <c r="L77" s="5"/>
    </row>
    <row r="78" spans="2:13" x14ac:dyDescent="0.25">
      <c r="B78" s="590"/>
      <c r="C78" s="1240" t="s">
        <v>405</v>
      </c>
      <c r="D78" s="1241"/>
      <c r="E78" s="1241"/>
      <c r="F78" s="1241"/>
      <c r="G78" s="1241"/>
      <c r="H78" s="1241"/>
      <c r="I78" s="833">
        <f>SUM(I75:I77)</f>
        <v>35000000</v>
      </c>
      <c r="J78" s="833"/>
      <c r="K78" s="834">
        <f>SUM(I78)</f>
        <v>35000000</v>
      </c>
      <c r="L78" s="5"/>
    </row>
    <row r="79" spans="2:13" ht="15.75" thickBot="1" x14ac:dyDescent="0.3">
      <c r="B79" s="577">
        <v>6</v>
      </c>
      <c r="C79" s="1236" t="s">
        <v>458</v>
      </c>
      <c r="D79" s="1237"/>
      <c r="E79" s="1237"/>
      <c r="F79" s="1237"/>
      <c r="G79" s="1237"/>
      <c r="H79" s="1237"/>
      <c r="I79" s="1238">
        <f>K71+I73</f>
        <v>35000000</v>
      </c>
      <c r="J79" s="1238"/>
      <c r="K79" s="1239"/>
      <c r="L79" s="5"/>
    </row>
    <row r="80" spans="2:13" x14ac:dyDescent="0.25">
      <c r="B80" s="84"/>
      <c r="C80" s="778"/>
      <c r="D80" s="778"/>
      <c r="E80" s="778"/>
      <c r="F80" s="778"/>
      <c r="G80" s="778"/>
      <c r="H80" s="778"/>
      <c r="I80" s="830"/>
      <c r="J80" s="830"/>
      <c r="K80" s="830"/>
      <c r="L80" s="5"/>
    </row>
    <row r="81" spans="2:21" x14ac:dyDescent="0.25">
      <c r="B81" s="84"/>
      <c r="C81" s="778"/>
      <c r="D81" s="778"/>
      <c r="E81" s="778"/>
      <c r="F81" s="778"/>
      <c r="G81" s="778"/>
      <c r="H81" s="778"/>
      <c r="I81" s="830"/>
      <c r="J81" s="830"/>
      <c r="K81" s="830"/>
      <c r="L81" s="5"/>
    </row>
    <row r="82" spans="2:21" x14ac:dyDescent="0.25">
      <c r="B82" s="84"/>
      <c r="C82" s="778"/>
      <c r="D82" s="778"/>
      <c r="E82" s="778"/>
      <c r="F82" s="778"/>
      <c r="G82" s="778"/>
      <c r="H82" s="778"/>
      <c r="I82" s="830"/>
      <c r="J82" s="830"/>
      <c r="K82" s="830"/>
      <c r="L82" s="5"/>
    </row>
    <row r="83" spans="2:21" x14ac:dyDescent="0.25">
      <c r="B83" s="84"/>
      <c r="C83" s="778"/>
      <c r="D83" s="778"/>
      <c r="E83" s="778"/>
      <c r="F83" s="778"/>
      <c r="G83" s="778"/>
      <c r="H83" s="778"/>
      <c r="I83" s="830"/>
      <c r="J83" s="830"/>
      <c r="K83" s="830"/>
      <c r="L83" s="5"/>
    </row>
    <row r="84" spans="2:21" x14ac:dyDescent="0.25">
      <c r="B84" s="84"/>
      <c r="C84" s="778"/>
      <c r="D84" s="778"/>
      <c r="E84" s="778"/>
      <c r="F84" s="778"/>
      <c r="G84" s="778"/>
      <c r="H84" s="778"/>
      <c r="I84" s="830"/>
      <c r="J84" s="830"/>
      <c r="K84" s="830"/>
      <c r="L84" s="5"/>
    </row>
    <row r="85" spans="2:21" x14ac:dyDescent="0.25">
      <c r="C85" s="82"/>
      <c r="D85" s="82"/>
      <c r="E85" s="82"/>
      <c r="F85" s="82"/>
      <c r="G85" s="82"/>
      <c r="H85" s="82"/>
      <c r="I85" s="83"/>
      <c r="J85" s="83"/>
      <c r="K85" s="5"/>
      <c r="L85" s="5"/>
    </row>
    <row r="86" spans="2:21" ht="15" customHeight="1" x14ac:dyDescent="0.25">
      <c r="C86" s="82" t="s">
        <v>394</v>
      </c>
      <c r="D86" s="82"/>
      <c r="E86" s="82"/>
      <c r="F86" s="82"/>
      <c r="G86" s="82"/>
      <c r="H86" s="82"/>
      <c r="I86" s="83"/>
      <c r="J86" s="83"/>
      <c r="K86" s="5"/>
      <c r="L86" s="5"/>
    </row>
    <row r="87" spans="2:21" ht="9.6" customHeight="1" x14ac:dyDescent="0.25"/>
    <row r="88" spans="2:21" ht="18" customHeight="1" x14ac:dyDescent="0.25"/>
    <row r="89" spans="2:21" ht="15" customHeight="1" x14ac:dyDescent="0.25">
      <c r="C89" s="1187" t="s">
        <v>13</v>
      </c>
      <c r="D89" s="1173">
        <v>2010</v>
      </c>
      <c r="E89" s="1174"/>
      <c r="F89" s="1175"/>
      <c r="G89" s="1173">
        <v>2011</v>
      </c>
      <c r="H89" s="1174"/>
      <c r="I89" s="1175"/>
      <c r="J89" s="211"/>
      <c r="K89" s="1173">
        <v>2017</v>
      </c>
      <c r="L89" s="1174"/>
      <c r="M89" s="1175"/>
      <c r="N89" s="1173">
        <v>2018</v>
      </c>
      <c r="O89" s="1174"/>
      <c r="P89" s="1175"/>
      <c r="Q89" s="57"/>
      <c r="R89" s="1048" t="s">
        <v>197</v>
      </c>
      <c r="S89" s="57"/>
    </row>
    <row r="90" spans="2:21" ht="15" customHeight="1" x14ac:dyDescent="0.25">
      <c r="C90" s="1187"/>
      <c r="D90" s="183" t="s">
        <v>166</v>
      </c>
      <c r="E90" s="183" t="s">
        <v>167</v>
      </c>
      <c r="F90" s="183" t="s">
        <v>168</v>
      </c>
      <c r="G90" s="183" t="s">
        <v>166</v>
      </c>
      <c r="H90" s="183" t="s">
        <v>167</v>
      </c>
      <c r="I90" s="183" t="s">
        <v>168</v>
      </c>
      <c r="J90" s="183"/>
      <c r="K90" s="183" t="s">
        <v>166</v>
      </c>
      <c r="L90" s="183" t="s">
        <v>167</v>
      </c>
      <c r="M90" s="212" t="s">
        <v>168</v>
      </c>
      <c r="N90" s="183" t="s">
        <v>166</v>
      </c>
      <c r="O90" s="183" t="s">
        <v>167</v>
      </c>
      <c r="P90" s="212" t="s">
        <v>168</v>
      </c>
      <c r="Q90" s="57"/>
      <c r="R90" s="1048"/>
      <c r="S90" s="57"/>
    </row>
    <row r="91" spans="2:21" ht="15" customHeight="1" x14ac:dyDescent="0.25">
      <c r="C91" s="556" t="s">
        <v>146</v>
      </c>
      <c r="D91" s="32">
        <v>1682502</v>
      </c>
      <c r="E91" s="213">
        <v>4238017</v>
      </c>
      <c r="F91" s="214">
        <f t="shared" ref="F91:F111" si="0">D91+E91</f>
        <v>5920519</v>
      </c>
      <c r="G91" s="32">
        <v>1970081.77</v>
      </c>
      <c r="H91" s="32">
        <v>4430528</v>
      </c>
      <c r="I91" s="214">
        <f t="shared" ref="I91:I111" si="1">G91+H91</f>
        <v>6400609.7699999996</v>
      </c>
      <c r="J91" s="215">
        <f>I91/F91</f>
        <v>1.0810893048396601</v>
      </c>
      <c r="K91" s="32">
        <v>4600138</v>
      </c>
      <c r="L91" s="32">
        <v>6164575</v>
      </c>
      <c r="M91" s="32">
        <f>SUM(K91:L91)</f>
        <v>10764713</v>
      </c>
      <c r="N91" s="32">
        <v>3847011</v>
      </c>
      <c r="O91" s="32">
        <v>7359180</v>
      </c>
      <c r="P91" s="214">
        <f>SUM(N91:O91)</f>
        <v>11206191</v>
      </c>
      <c r="R91" s="103">
        <f>P91/M91</f>
        <v>1.0410115903693855</v>
      </c>
      <c r="S91" s="216"/>
      <c r="T91" s="103"/>
      <c r="U91" s="104"/>
    </row>
    <row r="92" spans="2:21" ht="15" customHeight="1" x14ac:dyDescent="0.25">
      <c r="C92" s="556" t="s">
        <v>147</v>
      </c>
      <c r="D92" s="32">
        <v>1426148</v>
      </c>
      <c r="E92" s="213">
        <v>1269045.2039224801</v>
      </c>
      <c r="F92" s="214">
        <f>D92+E92</f>
        <v>2695193.2039224803</v>
      </c>
      <c r="G92" s="32">
        <v>1509150</v>
      </c>
      <c r="H92" s="32">
        <v>1369030</v>
      </c>
      <c r="I92" s="214">
        <f>G92+H92</f>
        <v>2878180</v>
      </c>
      <c r="J92" s="215">
        <f t="shared" ref="J92:J110" si="2">I92/F92</f>
        <v>1.0678937583440058</v>
      </c>
      <c r="K92" s="32">
        <v>1868560</v>
      </c>
      <c r="L92" s="32">
        <v>4098808</v>
      </c>
      <c r="M92" s="32">
        <f t="shared" ref="M92:M110" si="3">SUM(K92:L92)</f>
        <v>5967368</v>
      </c>
      <c r="N92" s="32">
        <v>2203748</v>
      </c>
      <c r="O92" s="32">
        <v>4292333</v>
      </c>
      <c r="P92" s="214">
        <f>N92+O92</f>
        <v>6496081</v>
      </c>
      <c r="R92" s="103">
        <f t="shared" ref="R92:R110" si="4">P92/M92</f>
        <v>1.0886007030235105</v>
      </c>
      <c r="S92" s="216"/>
      <c r="T92" s="103"/>
      <c r="U92" s="104"/>
    </row>
    <row r="93" spans="2:21" ht="15" customHeight="1" x14ac:dyDescent="0.25">
      <c r="C93" s="556" t="s">
        <v>148</v>
      </c>
      <c r="D93" s="32">
        <v>2556102</v>
      </c>
      <c r="E93" s="213">
        <v>1591529</v>
      </c>
      <c r="F93" s="214">
        <f t="shared" si="0"/>
        <v>4147631</v>
      </c>
      <c r="G93" s="32">
        <v>1516908</v>
      </c>
      <c r="H93" s="32">
        <v>1406499</v>
      </c>
      <c r="I93" s="214">
        <f t="shared" si="1"/>
        <v>2923407</v>
      </c>
      <c r="J93" s="215">
        <f t="shared" si="2"/>
        <v>0.70483777365922862</v>
      </c>
      <c r="K93" s="32">
        <v>272482</v>
      </c>
      <c r="L93" s="32">
        <v>801471</v>
      </c>
      <c r="M93" s="32">
        <f t="shared" si="3"/>
        <v>1073953</v>
      </c>
      <c r="N93" s="32">
        <v>2211427</v>
      </c>
      <c r="O93" s="32">
        <v>1095526</v>
      </c>
      <c r="P93" s="214">
        <f t="shared" ref="P93:P110" si="5">N93+O93</f>
        <v>3306953</v>
      </c>
      <c r="R93" s="103">
        <f t="shared" si="4"/>
        <v>3.0792343799030313</v>
      </c>
      <c r="S93" s="216"/>
      <c r="T93" s="103"/>
      <c r="U93" s="104"/>
    </row>
    <row r="94" spans="2:21" ht="15" customHeight="1" x14ac:dyDescent="0.25">
      <c r="C94" s="556" t="s">
        <v>149</v>
      </c>
      <c r="D94" s="32">
        <v>78746014</v>
      </c>
      <c r="E94" s="213">
        <v>45839494.140000001</v>
      </c>
      <c r="F94" s="214">
        <f>D94+E94</f>
        <v>124585508.14</v>
      </c>
      <c r="G94" s="32">
        <v>78848903</v>
      </c>
      <c r="H94" s="32">
        <v>64656269</v>
      </c>
      <c r="I94" s="214">
        <f>G94+H94</f>
        <v>143505172</v>
      </c>
      <c r="J94" s="215">
        <f t="shared" si="2"/>
        <v>1.1518608716411822</v>
      </c>
      <c r="K94" s="32">
        <v>154339475</v>
      </c>
      <c r="L94" s="32">
        <v>114466230</v>
      </c>
      <c r="M94" s="32">
        <f t="shared" si="3"/>
        <v>268805705</v>
      </c>
      <c r="N94" s="32">
        <v>170774917</v>
      </c>
      <c r="O94" s="32">
        <v>122745095</v>
      </c>
      <c r="P94" s="214">
        <f>N94+O94</f>
        <v>293520012</v>
      </c>
      <c r="R94" s="103">
        <f t="shared" si="4"/>
        <v>1.0919411550435658</v>
      </c>
      <c r="S94" s="216"/>
      <c r="T94" s="103"/>
      <c r="U94" s="104"/>
    </row>
    <row r="95" spans="2:21" ht="15" customHeight="1" x14ac:dyDescent="0.25">
      <c r="C95" s="556" t="s">
        <v>150</v>
      </c>
      <c r="D95" s="32">
        <v>10223733</v>
      </c>
      <c r="E95" s="213">
        <v>19002626</v>
      </c>
      <c r="F95" s="214">
        <f t="shared" si="0"/>
        <v>29226359</v>
      </c>
      <c r="G95" s="32">
        <v>11239004</v>
      </c>
      <c r="H95" s="32">
        <v>19033512</v>
      </c>
      <c r="I95" s="214">
        <f t="shared" si="1"/>
        <v>30272516</v>
      </c>
      <c r="J95" s="215">
        <f t="shared" si="2"/>
        <v>1.0357949821939845</v>
      </c>
      <c r="K95" s="32">
        <v>15872814</v>
      </c>
      <c r="L95" s="32">
        <v>9610927</v>
      </c>
      <c r="M95" s="32">
        <f t="shared" si="3"/>
        <v>25483741</v>
      </c>
      <c r="N95" s="32">
        <v>15746604</v>
      </c>
      <c r="O95" s="32">
        <v>10379876</v>
      </c>
      <c r="P95" s="214">
        <f t="shared" si="5"/>
        <v>26126480</v>
      </c>
      <c r="R95" s="103">
        <f t="shared" si="4"/>
        <v>1.0252215324272838</v>
      </c>
      <c r="S95" s="216"/>
      <c r="T95" s="103"/>
      <c r="U95" s="104"/>
    </row>
    <row r="96" spans="2:21" ht="15" customHeight="1" x14ac:dyDescent="0.25">
      <c r="C96" s="556" t="s">
        <v>151</v>
      </c>
      <c r="D96" s="32">
        <v>15115</v>
      </c>
      <c r="E96" s="213">
        <v>747024.60800000001</v>
      </c>
      <c r="F96" s="214">
        <f>D96+E96</f>
        <v>762139.60800000001</v>
      </c>
      <c r="G96" s="32">
        <v>15047.65</v>
      </c>
      <c r="H96" s="32">
        <v>46822</v>
      </c>
      <c r="I96" s="214">
        <f>G96+H96</f>
        <v>61869.65</v>
      </c>
      <c r="J96" s="215">
        <f t="shared" si="2"/>
        <v>8.1178893408200878E-2</v>
      </c>
      <c r="K96" s="32">
        <v>23315</v>
      </c>
      <c r="L96" s="32">
        <v>123172</v>
      </c>
      <c r="M96" s="32">
        <f t="shared" si="3"/>
        <v>146487</v>
      </c>
      <c r="N96" s="32">
        <v>33467</v>
      </c>
      <c r="O96" s="32">
        <v>82331</v>
      </c>
      <c r="P96" s="214">
        <f>N96+O96</f>
        <v>115798</v>
      </c>
      <c r="R96" s="103">
        <f t="shared" si="4"/>
        <v>0.79050018090342489</v>
      </c>
      <c r="S96" s="216"/>
      <c r="T96" s="103"/>
      <c r="U96" s="104"/>
    </row>
    <row r="97" spans="3:21" ht="15" customHeight="1" x14ac:dyDescent="0.25">
      <c r="C97" s="556" t="s">
        <v>152</v>
      </c>
      <c r="D97" s="32">
        <v>39804</v>
      </c>
      <c r="E97" s="213">
        <v>70181</v>
      </c>
      <c r="F97" s="214">
        <f>D97+E97</f>
        <v>109985</v>
      </c>
      <c r="G97" s="32">
        <v>11353.99</v>
      </c>
      <c r="H97" s="32">
        <v>108200</v>
      </c>
      <c r="I97" s="214">
        <f>G97+H97</f>
        <v>119553.99</v>
      </c>
      <c r="J97" s="215">
        <f t="shared" si="2"/>
        <v>1.0870026821839343</v>
      </c>
      <c r="K97" s="32">
        <v>10148</v>
      </c>
      <c r="L97" s="32">
        <v>27360</v>
      </c>
      <c r="M97" s="32">
        <f t="shared" si="3"/>
        <v>37508</v>
      </c>
      <c r="N97" s="32">
        <v>13603</v>
      </c>
      <c r="O97" s="32">
        <v>78610</v>
      </c>
      <c r="P97" s="214">
        <f>N97+O97</f>
        <v>92213</v>
      </c>
      <c r="R97" s="103">
        <f t="shared" si="4"/>
        <v>2.4584888557107818</v>
      </c>
      <c r="S97" s="216"/>
      <c r="T97" s="103"/>
      <c r="U97" s="104"/>
    </row>
    <row r="98" spans="3:21" ht="15" customHeight="1" x14ac:dyDescent="0.25">
      <c r="C98" s="556" t="s">
        <v>153</v>
      </c>
      <c r="D98" s="32">
        <v>3802609</v>
      </c>
      <c r="E98" s="213">
        <v>3607111</v>
      </c>
      <c r="F98" s="214">
        <f t="shared" si="0"/>
        <v>7409720</v>
      </c>
      <c r="G98" s="32">
        <v>5015719</v>
      </c>
      <c r="H98" s="32">
        <v>3584924</v>
      </c>
      <c r="I98" s="214">
        <f t="shared" si="1"/>
        <v>8600643</v>
      </c>
      <c r="J98" s="215">
        <f t="shared" si="2"/>
        <v>1.1607244268339425</v>
      </c>
      <c r="K98" s="32">
        <v>9995787</v>
      </c>
      <c r="L98" s="32">
        <v>2921966</v>
      </c>
      <c r="M98" s="32">
        <f t="shared" si="3"/>
        <v>12917753</v>
      </c>
      <c r="N98" s="32">
        <v>5696258</v>
      </c>
      <c r="O98" s="32">
        <v>5984263</v>
      </c>
      <c r="P98" s="214">
        <f t="shared" si="5"/>
        <v>11680521</v>
      </c>
      <c r="R98" s="103">
        <f t="shared" si="4"/>
        <v>0.90422235198335188</v>
      </c>
      <c r="S98" s="216"/>
      <c r="T98" s="103"/>
      <c r="U98" s="104"/>
    </row>
    <row r="99" spans="3:21" ht="15" customHeight="1" x14ac:dyDescent="0.25">
      <c r="C99" s="556" t="s">
        <v>154</v>
      </c>
      <c r="D99" s="32">
        <v>679452.26649999991</v>
      </c>
      <c r="E99" s="213">
        <v>979732.52173799998</v>
      </c>
      <c r="F99" s="214">
        <f t="shared" si="0"/>
        <v>1659184.7882379999</v>
      </c>
      <c r="G99" s="32">
        <v>709042</v>
      </c>
      <c r="H99" s="32">
        <v>1116169</v>
      </c>
      <c r="I99" s="214">
        <f t="shared" si="1"/>
        <v>1825211</v>
      </c>
      <c r="J99" s="215">
        <f t="shared" si="2"/>
        <v>1.1000649312475403</v>
      </c>
      <c r="K99" s="32">
        <v>1515005</v>
      </c>
      <c r="L99" s="32">
        <v>1085491</v>
      </c>
      <c r="M99" s="32">
        <f t="shared" si="3"/>
        <v>2600496</v>
      </c>
      <c r="N99" s="32">
        <v>2229122</v>
      </c>
      <c r="O99" s="32">
        <v>1191698</v>
      </c>
      <c r="P99" s="214">
        <f t="shared" si="5"/>
        <v>3420820</v>
      </c>
      <c r="R99" s="103">
        <f t="shared" si="4"/>
        <v>1.315449052796082</v>
      </c>
      <c r="S99" s="216"/>
      <c r="T99" s="103"/>
      <c r="U99" s="104"/>
    </row>
    <row r="100" spans="3:21" ht="15" customHeight="1" x14ac:dyDescent="0.25">
      <c r="C100" s="556" t="s">
        <v>155</v>
      </c>
      <c r="D100" s="32">
        <v>490919.83199999999</v>
      </c>
      <c r="E100" s="213">
        <v>305440</v>
      </c>
      <c r="F100" s="214">
        <f>D100+E100</f>
        <v>796359.83199999994</v>
      </c>
      <c r="G100" s="32">
        <v>501773</v>
      </c>
      <c r="H100" s="32">
        <v>254381</v>
      </c>
      <c r="I100" s="214">
        <f>G100+H100</f>
        <v>756154</v>
      </c>
      <c r="J100" s="215">
        <f t="shared" si="2"/>
        <v>0.94951298347252655</v>
      </c>
      <c r="K100" s="32">
        <v>2011785</v>
      </c>
      <c r="L100" s="32">
        <v>188489</v>
      </c>
      <c r="M100" s="32">
        <f t="shared" si="3"/>
        <v>2200274</v>
      </c>
      <c r="N100" s="32">
        <v>2096161</v>
      </c>
      <c r="O100" s="32">
        <v>270627</v>
      </c>
      <c r="P100" s="214">
        <f>N100+O100</f>
        <v>2366788</v>
      </c>
      <c r="R100" s="103">
        <f t="shared" si="4"/>
        <v>1.0756787563730699</v>
      </c>
      <c r="S100" s="216"/>
      <c r="T100" s="103"/>
      <c r="U100" s="104"/>
    </row>
    <row r="101" spans="3:21" ht="15" customHeight="1" x14ac:dyDescent="0.25">
      <c r="C101" s="556" t="s">
        <v>156</v>
      </c>
      <c r="D101" s="32">
        <v>751355</v>
      </c>
      <c r="E101" s="213">
        <v>540322</v>
      </c>
      <c r="F101" s="214">
        <f t="shared" si="0"/>
        <v>1291677</v>
      </c>
      <c r="G101" s="32">
        <v>833122.71</v>
      </c>
      <c r="H101" s="32">
        <v>449768</v>
      </c>
      <c r="I101" s="214">
        <f t="shared" si="1"/>
        <v>1282890.71</v>
      </c>
      <c r="J101" s="215">
        <f t="shared" si="2"/>
        <v>0.99319776538561877</v>
      </c>
      <c r="K101" s="32">
        <v>1207189</v>
      </c>
      <c r="L101" s="32">
        <v>552064</v>
      </c>
      <c r="M101" s="32">
        <f t="shared" si="3"/>
        <v>1759253</v>
      </c>
      <c r="N101" s="32">
        <v>1480024</v>
      </c>
      <c r="O101" s="32">
        <v>857904</v>
      </c>
      <c r="P101" s="214">
        <f t="shared" si="5"/>
        <v>2337928</v>
      </c>
      <c r="R101" s="103">
        <f t="shared" si="4"/>
        <v>1.3289322229378038</v>
      </c>
      <c r="S101" s="216"/>
      <c r="T101" s="103"/>
      <c r="U101" s="104"/>
    </row>
    <row r="102" spans="3:21" ht="15" customHeight="1" x14ac:dyDescent="0.25">
      <c r="C102" s="556" t="s">
        <v>157</v>
      </c>
      <c r="D102" s="32">
        <v>359295</v>
      </c>
      <c r="E102" s="213">
        <v>1815345</v>
      </c>
      <c r="F102" s="214">
        <f t="shared" si="0"/>
        <v>2174640</v>
      </c>
      <c r="G102" s="32">
        <v>355184</v>
      </c>
      <c r="H102" s="32">
        <v>1292100</v>
      </c>
      <c r="I102" s="214">
        <f t="shared" si="1"/>
        <v>1647284</v>
      </c>
      <c r="J102" s="215">
        <f t="shared" si="2"/>
        <v>0.75749733289188093</v>
      </c>
      <c r="K102" s="32">
        <v>443946</v>
      </c>
      <c r="L102" s="32">
        <v>2361354</v>
      </c>
      <c r="M102" s="32">
        <f t="shared" si="3"/>
        <v>2805300</v>
      </c>
      <c r="N102" s="32">
        <v>532672</v>
      </c>
      <c r="O102" s="32">
        <v>2161785</v>
      </c>
      <c r="P102" s="214">
        <f t="shared" si="5"/>
        <v>2694457</v>
      </c>
      <c r="R102" s="103">
        <f t="shared" si="4"/>
        <v>0.96048800484796637</v>
      </c>
      <c r="S102" s="216"/>
      <c r="T102" s="103"/>
      <c r="U102" s="104"/>
    </row>
    <row r="103" spans="3:21" ht="15" customHeight="1" x14ac:dyDescent="0.25">
      <c r="C103" s="556" t="s">
        <v>158</v>
      </c>
      <c r="D103" s="32">
        <v>1867043</v>
      </c>
      <c r="E103" s="213">
        <v>2195979</v>
      </c>
      <c r="F103" s="214">
        <f t="shared" si="0"/>
        <v>4063022</v>
      </c>
      <c r="G103" s="32">
        <v>1773965</v>
      </c>
      <c r="H103" s="32">
        <v>1766959</v>
      </c>
      <c r="I103" s="214">
        <f t="shared" si="1"/>
        <v>3540924</v>
      </c>
      <c r="J103" s="215">
        <f t="shared" si="2"/>
        <v>0.87150008048196637</v>
      </c>
      <c r="K103" s="32">
        <v>4722861</v>
      </c>
      <c r="L103" s="32">
        <v>1595892</v>
      </c>
      <c r="M103" s="32">
        <f t="shared" si="3"/>
        <v>6318753</v>
      </c>
      <c r="N103" s="32">
        <v>4431219</v>
      </c>
      <c r="O103" s="32">
        <v>2234250</v>
      </c>
      <c r="P103" s="214">
        <f t="shared" si="5"/>
        <v>6665469</v>
      </c>
      <c r="R103" s="103">
        <f t="shared" si="4"/>
        <v>1.0548709531769955</v>
      </c>
      <c r="S103" s="216"/>
      <c r="T103" s="103"/>
      <c r="U103" s="104"/>
    </row>
    <row r="104" spans="3:21" ht="15" customHeight="1" x14ac:dyDescent="0.25">
      <c r="C104" s="556" t="s">
        <v>159</v>
      </c>
      <c r="D104" s="32">
        <v>587111</v>
      </c>
      <c r="E104" s="213">
        <v>404106.06761000003</v>
      </c>
      <c r="F104" s="214">
        <f>D104+E104</f>
        <v>991217.06761000003</v>
      </c>
      <c r="G104" s="32">
        <v>627237.49</v>
      </c>
      <c r="H104" s="32">
        <v>442866</v>
      </c>
      <c r="I104" s="214">
        <f>G104+H104</f>
        <v>1070103.49</v>
      </c>
      <c r="J104" s="215">
        <f t="shared" si="2"/>
        <v>1.079585415715459</v>
      </c>
      <c r="K104" s="32">
        <v>878681</v>
      </c>
      <c r="L104" s="32">
        <v>1097834</v>
      </c>
      <c r="M104" s="32">
        <f t="shared" si="3"/>
        <v>1976515</v>
      </c>
      <c r="N104" s="32">
        <v>1074974</v>
      </c>
      <c r="O104" s="32">
        <v>746412</v>
      </c>
      <c r="P104" s="214">
        <f>N104+O104</f>
        <v>1821386</v>
      </c>
      <c r="R104" s="103">
        <f t="shared" si="4"/>
        <v>0.92151387669711593</v>
      </c>
      <c r="S104" s="216"/>
      <c r="T104" s="103"/>
      <c r="U104" s="104"/>
    </row>
    <row r="105" spans="3:21" ht="15" customHeight="1" x14ac:dyDescent="0.25">
      <c r="C105" s="556" t="s">
        <v>160</v>
      </c>
      <c r="D105" s="32">
        <v>1034790</v>
      </c>
      <c r="E105" s="213">
        <v>1930723.26</v>
      </c>
      <c r="F105" s="214">
        <f t="shared" si="0"/>
        <v>2965513.26</v>
      </c>
      <c r="G105" s="32">
        <v>1086831.6499999999</v>
      </c>
      <c r="H105" s="32">
        <v>967094</v>
      </c>
      <c r="I105" s="214">
        <f t="shared" si="1"/>
        <v>2053925.65</v>
      </c>
      <c r="J105" s="215">
        <f t="shared" si="2"/>
        <v>0.69260376532593892</v>
      </c>
      <c r="K105" s="32">
        <v>2361650</v>
      </c>
      <c r="L105" s="32">
        <v>2335873</v>
      </c>
      <c r="M105" s="32">
        <f t="shared" si="3"/>
        <v>4697523</v>
      </c>
      <c r="N105" s="32">
        <v>2058103</v>
      </c>
      <c r="O105" s="32">
        <v>2519056</v>
      </c>
      <c r="P105" s="214">
        <f t="shared" si="5"/>
        <v>4577159</v>
      </c>
      <c r="R105" s="103">
        <f t="shared" si="4"/>
        <v>0.97437713450258789</v>
      </c>
      <c r="S105" s="216"/>
      <c r="T105" s="103"/>
      <c r="U105" s="104"/>
    </row>
    <row r="106" spans="3:21" ht="15" customHeight="1" x14ac:dyDescent="0.25">
      <c r="C106" s="556" t="s">
        <v>161</v>
      </c>
      <c r="D106" s="32">
        <v>3445369.4415000002</v>
      </c>
      <c r="E106" s="213">
        <v>7876143</v>
      </c>
      <c r="F106" s="214">
        <f t="shared" si="0"/>
        <v>11321512.441500001</v>
      </c>
      <c r="G106" s="32">
        <v>3855604</v>
      </c>
      <c r="H106" s="32">
        <v>8804594</v>
      </c>
      <c r="I106" s="214">
        <f t="shared" si="1"/>
        <v>12660198</v>
      </c>
      <c r="J106" s="215">
        <f t="shared" si="2"/>
        <v>1.1182426434115755</v>
      </c>
      <c r="K106" s="32">
        <v>4200863</v>
      </c>
      <c r="L106" s="32">
        <v>11809025</v>
      </c>
      <c r="M106" s="32">
        <f t="shared" si="3"/>
        <v>16009888</v>
      </c>
      <c r="N106" s="32">
        <v>4902160</v>
      </c>
      <c r="O106" s="32">
        <v>11312920</v>
      </c>
      <c r="P106" s="214">
        <f t="shared" si="5"/>
        <v>16215080</v>
      </c>
      <c r="R106" s="103">
        <f t="shared" si="4"/>
        <v>1.0128165793539592</v>
      </c>
      <c r="S106" s="216"/>
      <c r="T106" s="103"/>
      <c r="U106" s="104"/>
    </row>
    <row r="107" spans="3:21" ht="15" customHeight="1" x14ac:dyDescent="0.25">
      <c r="C107" s="556" t="s">
        <v>162</v>
      </c>
      <c r="D107" s="32">
        <v>1263023</v>
      </c>
      <c r="E107" s="213">
        <v>1192004</v>
      </c>
      <c r="F107" s="214">
        <f t="shared" si="0"/>
        <v>2455027</v>
      </c>
      <c r="G107" s="32">
        <v>1110492</v>
      </c>
      <c r="H107" s="32">
        <v>1122164</v>
      </c>
      <c r="I107" s="214">
        <f t="shared" si="1"/>
        <v>2232656</v>
      </c>
      <c r="J107" s="215">
        <f t="shared" si="2"/>
        <v>0.90942217743430109</v>
      </c>
      <c r="K107" s="32">
        <v>2916876</v>
      </c>
      <c r="L107" s="32">
        <v>1649032</v>
      </c>
      <c r="M107" s="32">
        <f t="shared" si="3"/>
        <v>4565908</v>
      </c>
      <c r="N107" s="32">
        <v>2588653</v>
      </c>
      <c r="O107" s="32">
        <v>1751273</v>
      </c>
      <c r="P107" s="214">
        <f t="shared" si="5"/>
        <v>4339926</v>
      </c>
      <c r="R107" s="103">
        <f t="shared" si="4"/>
        <v>0.95050666811508244</v>
      </c>
      <c r="S107" s="216"/>
      <c r="T107" s="103"/>
      <c r="U107" s="104"/>
    </row>
    <row r="108" spans="3:21" ht="15" customHeight="1" x14ac:dyDescent="0.25">
      <c r="C108" s="556" t="s">
        <v>163</v>
      </c>
      <c r="D108" s="32">
        <v>38607672.27335</v>
      </c>
      <c r="E108" s="213">
        <v>102423063.05140001</v>
      </c>
      <c r="F108" s="214">
        <f>D108+E108</f>
        <v>141030735.32475001</v>
      </c>
      <c r="G108" s="32">
        <v>38794615</v>
      </c>
      <c r="H108" s="32">
        <v>103320484</v>
      </c>
      <c r="I108" s="214">
        <f>G108+H108</f>
        <v>142115099</v>
      </c>
      <c r="J108" s="215">
        <f t="shared" si="2"/>
        <v>1.0076888464968508</v>
      </c>
      <c r="K108" s="32">
        <v>54817026</v>
      </c>
      <c r="L108" s="32">
        <v>285002518</v>
      </c>
      <c r="M108" s="32">
        <f t="shared" si="3"/>
        <v>339819544</v>
      </c>
      <c r="N108" s="513">
        <v>68254405</v>
      </c>
      <c r="O108" s="32">
        <v>181485941</v>
      </c>
      <c r="P108" s="214">
        <f>N108+O108</f>
        <v>249740346</v>
      </c>
      <c r="R108" s="103">
        <f t="shared" si="4"/>
        <v>0.73492049062369413</v>
      </c>
      <c r="S108" s="216"/>
      <c r="T108" s="103"/>
      <c r="U108" s="104"/>
    </row>
    <row r="109" spans="3:21" ht="15" customHeight="1" x14ac:dyDescent="0.25">
      <c r="C109" s="556" t="s">
        <v>164</v>
      </c>
      <c r="D109" s="32">
        <v>1053724</v>
      </c>
      <c r="E109" s="213">
        <v>1760700</v>
      </c>
      <c r="F109" s="214">
        <f t="shared" si="0"/>
        <v>2814424</v>
      </c>
      <c r="G109" s="32">
        <v>974443</v>
      </c>
      <c r="H109" s="32">
        <v>1955033</v>
      </c>
      <c r="I109" s="214">
        <f t="shared" si="1"/>
        <v>2929476</v>
      </c>
      <c r="J109" s="215">
        <f t="shared" si="2"/>
        <v>1.0408794126258161</v>
      </c>
      <c r="K109" s="32">
        <v>824105</v>
      </c>
      <c r="L109" s="32">
        <v>1076489</v>
      </c>
      <c r="M109" s="32">
        <f t="shared" si="3"/>
        <v>1900594</v>
      </c>
      <c r="N109" s="32">
        <v>1341794</v>
      </c>
      <c r="O109" s="32">
        <v>1265479</v>
      </c>
      <c r="P109" s="214">
        <f t="shared" si="5"/>
        <v>2607273</v>
      </c>
      <c r="R109" s="103">
        <f t="shared" si="4"/>
        <v>1.3718200730929384</v>
      </c>
      <c r="S109" s="216"/>
      <c r="T109" s="103"/>
      <c r="U109" s="104"/>
    </row>
    <row r="110" spans="3:21" ht="15" customHeight="1" x14ac:dyDescent="0.25">
      <c r="C110" s="556" t="s">
        <v>165</v>
      </c>
      <c r="D110" s="32">
        <v>4668675</v>
      </c>
      <c r="E110" s="213">
        <v>9408641</v>
      </c>
      <c r="F110" s="214">
        <f t="shared" si="0"/>
        <v>14077316</v>
      </c>
      <c r="G110" s="32">
        <v>5684224</v>
      </c>
      <c r="H110" s="32">
        <v>11342255</v>
      </c>
      <c r="I110" s="214">
        <f t="shared" si="1"/>
        <v>17026479</v>
      </c>
      <c r="J110" s="215">
        <f t="shared" si="2"/>
        <v>1.2094975348994084</v>
      </c>
      <c r="K110" s="32">
        <v>8125909</v>
      </c>
      <c r="L110" s="32">
        <v>17789868</v>
      </c>
      <c r="M110" s="32">
        <f t="shared" si="3"/>
        <v>25915777</v>
      </c>
      <c r="N110" s="32">
        <v>10345095</v>
      </c>
      <c r="O110" s="32">
        <v>27454438</v>
      </c>
      <c r="P110" s="214">
        <f t="shared" si="5"/>
        <v>37799533</v>
      </c>
      <c r="R110" s="103">
        <f t="shared" si="4"/>
        <v>1.4585529501970942</v>
      </c>
      <c r="S110" s="216"/>
      <c r="T110" s="103"/>
      <c r="U110" s="104"/>
    </row>
    <row r="111" spans="3:21" ht="15" customHeight="1" x14ac:dyDescent="0.25">
      <c r="C111" s="127" t="s">
        <v>65</v>
      </c>
      <c r="D111" s="214">
        <f>SUM(D91:D110)</f>
        <v>153300456.81334999</v>
      </c>
      <c r="E111" s="214">
        <f>SUM(E91:E110)</f>
        <v>207197226.85267049</v>
      </c>
      <c r="F111" s="214">
        <f t="shared" si="0"/>
        <v>360497683.66602051</v>
      </c>
      <c r="G111" s="214">
        <f>SUM(G91:G110)</f>
        <v>156432701.25999999</v>
      </c>
      <c r="H111" s="214">
        <f>SUM(H91:H110)</f>
        <v>227469651</v>
      </c>
      <c r="I111" s="214">
        <f t="shared" si="1"/>
        <v>383902352.25999999</v>
      </c>
      <c r="J111" s="215"/>
      <c r="K111" s="214">
        <f t="shared" ref="K111:P111" si="6">SUM(K91:K110)</f>
        <v>271008615</v>
      </c>
      <c r="L111" s="214">
        <f t="shared" si="6"/>
        <v>464758438</v>
      </c>
      <c r="M111" s="214">
        <f t="shared" si="6"/>
        <v>735767053</v>
      </c>
      <c r="N111" s="214">
        <f t="shared" si="6"/>
        <v>301861417</v>
      </c>
      <c r="O111" s="214">
        <f t="shared" si="6"/>
        <v>385268997</v>
      </c>
      <c r="P111" s="217">
        <f t="shared" si="6"/>
        <v>687130414</v>
      </c>
      <c r="R111" s="103">
        <f>SUM(R91:R110)</f>
        <v>24.639147512078722</v>
      </c>
      <c r="S111" s="218"/>
      <c r="T111" s="103"/>
      <c r="U111" s="104"/>
    </row>
    <row r="112" spans="3:21" ht="15" customHeight="1" x14ac:dyDescent="0.25">
      <c r="R112" s="104"/>
      <c r="S112" s="104"/>
      <c r="T112" s="104"/>
      <c r="U112" s="104"/>
    </row>
    <row r="113" spans="14:21" ht="15" customHeight="1" x14ac:dyDescent="0.25">
      <c r="R113" s="104"/>
      <c r="S113" s="104"/>
      <c r="T113" s="104"/>
      <c r="U113" s="104"/>
    </row>
    <row r="114" spans="14:21" x14ac:dyDescent="0.25">
      <c r="R114" s="104"/>
      <c r="S114" s="104"/>
      <c r="T114" s="104"/>
      <c r="U114" s="104"/>
    </row>
    <row r="115" spans="14:21" x14ac:dyDescent="0.25">
      <c r="O115" s="181"/>
      <c r="R115" s="104"/>
      <c r="S115" s="104"/>
      <c r="T115" s="104"/>
      <c r="U115" s="104"/>
    </row>
    <row r="116" spans="14:21" x14ac:dyDescent="0.25">
      <c r="N116">
        <v>301861417</v>
      </c>
      <c r="R116" s="104"/>
      <c r="S116" s="104"/>
      <c r="T116" s="104"/>
      <c r="U116" s="104"/>
    </row>
    <row r="117" spans="14:21" x14ac:dyDescent="0.25">
      <c r="N117" s="181">
        <f>N116-N111</f>
        <v>0</v>
      </c>
      <c r="R117" s="104"/>
      <c r="S117" s="104"/>
      <c r="T117" s="104"/>
      <c r="U117" s="104"/>
    </row>
  </sheetData>
  <mergeCells count="81">
    <mergeCell ref="C79:H79"/>
    <mergeCell ref="I79:K79"/>
    <mergeCell ref="C76:H76"/>
    <mergeCell ref="I76:K76"/>
    <mergeCell ref="C77:H77"/>
    <mergeCell ref="I77:K77"/>
    <mergeCell ref="C78:H78"/>
    <mergeCell ref="C73:H73"/>
    <mergeCell ref="I73:K73"/>
    <mergeCell ref="C74:H74"/>
    <mergeCell ref="I74:K74"/>
    <mergeCell ref="C75:H75"/>
    <mergeCell ref="I75:K75"/>
    <mergeCell ref="C10:H10"/>
    <mergeCell ref="I10:K10"/>
    <mergeCell ref="C4:K4"/>
    <mergeCell ref="B5:K5"/>
    <mergeCell ref="B6:H6"/>
    <mergeCell ref="C8:H8"/>
    <mergeCell ref="C9:H9"/>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20:H20"/>
    <mergeCell ref="I20:K20"/>
    <mergeCell ref="C30:H30"/>
    <mergeCell ref="C31:H31"/>
    <mergeCell ref="C33:H33"/>
    <mergeCell ref="C26:H26"/>
    <mergeCell ref="C29:H29"/>
    <mergeCell ref="C21:H21"/>
    <mergeCell ref="I21:K21"/>
    <mergeCell ref="C22:H22"/>
    <mergeCell ref="C23:H23"/>
    <mergeCell ref="C25:H25"/>
    <mergeCell ref="C34:H34"/>
    <mergeCell ref="C35:H35"/>
    <mergeCell ref="I38:K38"/>
    <mergeCell ref="C39:H39"/>
    <mergeCell ref="C40:H40"/>
    <mergeCell ref="C43:H43"/>
    <mergeCell ref="C38:H38"/>
    <mergeCell ref="C60:H60"/>
    <mergeCell ref="C44:H44"/>
    <mergeCell ref="C45:H45"/>
    <mergeCell ref="C48:H48"/>
    <mergeCell ref="C49:H49"/>
    <mergeCell ref="C50:H50"/>
    <mergeCell ref="C53:H53"/>
    <mergeCell ref="C54:H54"/>
    <mergeCell ref="C55:H55"/>
    <mergeCell ref="C58:H58"/>
    <mergeCell ref="C59:H59"/>
    <mergeCell ref="N89:P89"/>
    <mergeCell ref="R89:R90"/>
    <mergeCell ref="C63:H63"/>
    <mergeCell ref="C64:H64"/>
    <mergeCell ref="C65:H65"/>
    <mergeCell ref="C67:H67"/>
    <mergeCell ref="I67:K67"/>
    <mergeCell ref="C89:C90"/>
    <mergeCell ref="D89:F89"/>
    <mergeCell ref="G89:I89"/>
    <mergeCell ref="K89:M89"/>
    <mergeCell ref="B68:K68"/>
    <mergeCell ref="C69:H69"/>
    <mergeCell ref="C70:H70"/>
    <mergeCell ref="C72:H72"/>
    <mergeCell ref="I72:K72"/>
  </mergeCells>
  <pageMargins left="0" right="0.11811023622047245" top="0.41" bottom="0.74803149606299213" header="0.31496062992125984" footer="0.31496062992125984"/>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D34"/>
  <sheetViews>
    <sheetView zoomScale="90" zoomScaleNormal="90" workbookViewId="0">
      <selection activeCell="B3" sqref="B3:C3"/>
    </sheetView>
  </sheetViews>
  <sheetFormatPr baseColWidth="10" defaultRowHeight="15" x14ac:dyDescent="0.25"/>
  <cols>
    <col min="1" max="1" width="3.5703125" customWidth="1"/>
    <col min="2" max="2" width="29" customWidth="1"/>
    <col min="3" max="3" width="30.5703125" customWidth="1"/>
  </cols>
  <sheetData>
    <row r="1" spans="2:4" x14ac:dyDescent="0.25">
      <c r="B1" s="1244"/>
      <c r="C1" s="1244"/>
    </row>
    <row r="2" spans="2:4" x14ac:dyDescent="0.25">
      <c r="B2" s="8"/>
      <c r="C2" s="8"/>
    </row>
    <row r="3" spans="2:4" x14ac:dyDescent="0.25">
      <c r="B3" s="987" t="s">
        <v>364</v>
      </c>
      <c r="C3" s="987"/>
    </row>
    <row r="4" spans="2:4" x14ac:dyDescent="0.25">
      <c r="B4" s="987"/>
      <c r="C4" s="987"/>
    </row>
    <row r="5" spans="2:4" ht="15.75" thickBot="1" x14ac:dyDescent="0.3">
      <c r="B5" s="12"/>
      <c r="C5" s="12"/>
    </row>
    <row r="6" spans="2:4" ht="15" customHeight="1" x14ac:dyDescent="0.25">
      <c r="B6" s="1140" t="s">
        <v>83</v>
      </c>
      <c r="C6" s="1145" t="s">
        <v>363</v>
      </c>
    </row>
    <row r="7" spans="2:4" x14ac:dyDescent="0.25">
      <c r="B7" s="1141"/>
      <c r="C7" s="1246"/>
    </row>
    <row r="8" spans="2:4" x14ac:dyDescent="0.25">
      <c r="B8" s="1141"/>
      <c r="C8" s="1246"/>
    </row>
    <row r="9" spans="2:4" ht="15.75" thickBot="1" x14ac:dyDescent="0.3">
      <c r="B9" s="1142"/>
      <c r="C9" s="1247"/>
    </row>
    <row r="10" spans="2:4" ht="24" customHeight="1" x14ac:dyDescent="0.25">
      <c r="B10" s="132" t="s">
        <v>45</v>
      </c>
      <c r="C10" s="419">
        <v>37232</v>
      </c>
      <c r="D10" s="59"/>
    </row>
    <row r="11" spans="2:4" ht="24" customHeight="1" x14ac:dyDescent="0.25">
      <c r="B11" s="132" t="s">
        <v>46</v>
      </c>
      <c r="C11" s="420">
        <v>15393</v>
      </c>
      <c r="D11" s="59"/>
    </row>
    <row r="12" spans="2:4" ht="24" customHeight="1" x14ac:dyDescent="0.25">
      <c r="B12" s="132" t="s">
        <v>47</v>
      </c>
      <c r="C12" s="407">
        <v>11536</v>
      </c>
      <c r="D12" s="59"/>
    </row>
    <row r="13" spans="2:4" ht="24" customHeight="1" x14ac:dyDescent="0.25">
      <c r="B13" s="132" t="s">
        <v>48</v>
      </c>
      <c r="C13" s="407">
        <v>187632</v>
      </c>
      <c r="D13" s="59"/>
    </row>
    <row r="14" spans="2:4" ht="24" customHeight="1" x14ac:dyDescent="0.25">
      <c r="B14" s="132" t="s">
        <v>49</v>
      </c>
      <c r="C14" s="407">
        <v>77436</v>
      </c>
      <c r="D14" s="59"/>
    </row>
    <row r="15" spans="2:4" ht="24" customHeight="1" x14ac:dyDescent="0.25">
      <c r="B15" s="132" t="s">
        <v>50</v>
      </c>
      <c r="C15" s="407">
        <v>47550</v>
      </c>
      <c r="D15" s="59"/>
    </row>
    <row r="16" spans="2:4" ht="24" customHeight="1" x14ac:dyDescent="0.25">
      <c r="B16" s="132" t="s">
        <v>51</v>
      </c>
      <c r="C16" s="407">
        <v>12230</v>
      </c>
      <c r="D16" s="59"/>
    </row>
    <row r="17" spans="2:4" ht="24" customHeight="1" x14ac:dyDescent="0.25">
      <c r="B17" s="132" t="s">
        <v>52</v>
      </c>
      <c r="C17" s="407">
        <v>29299</v>
      </c>
      <c r="D17" s="59"/>
    </row>
    <row r="18" spans="2:4" ht="24" customHeight="1" x14ac:dyDescent="0.25">
      <c r="B18" s="132" t="s">
        <v>53</v>
      </c>
      <c r="C18" s="407">
        <v>19321</v>
      </c>
      <c r="D18" s="59"/>
    </row>
    <row r="19" spans="2:4" ht="24" customHeight="1" x14ac:dyDescent="0.25">
      <c r="B19" s="132" t="s">
        <v>54</v>
      </c>
      <c r="C19" s="407">
        <v>13719</v>
      </c>
      <c r="D19" s="59"/>
    </row>
    <row r="20" spans="2:4" ht="24" customHeight="1" x14ac:dyDescent="0.25">
      <c r="B20" s="132" t="s">
        <v>55</v>
      </c>
      <c r="C20" s="407">
        <v>33567</v>
      </c>
      <c r="D20" s="59"/>
    </row>
    <row r="21" spans="2:4" ht="24" customHeight="1" x14ac:dyDescent="0.25">
      <c r="B21" s="132" t="s">
        <v>56</v>
      </c>
      <c r="C21" s="407">
        <v>24096</v>
      </c>
      <c r="D21" s="59"/>
    </row>
    <row r="22" spans="2:4" ht="24" customHeight="1" x14ac:dyDescent="0.25">
      <c r="B22" s="132" t="s">
        <v>57</v>
      </c>
      <c r="C22" s="407">
        <v>41518</v>
      </c>
      <c r="D22" s="59"/>
    </row>
    <row r="23" spans="2:4" ht="24" customHeight="1" x14ac:dyDescent="0.25">
      <c r="B23" s="132" t="s">
        <v>58</v>
      </c>
      <c r="C23" s="407">
        <v>7683</v>
      </c>
      <c r="D23" s="59"/>
    </row>
    <row r="24" spans="2:4" ht="24" customHeight="1" x14ac:dyDescent="0.25">
      <c r="B24" s="132" t="s">
        <v>59</v>
      </c>
      <c r="C24" s="407">
        <v>24911</v>
      </c>
      <c r="D24" s="59"/>
    </row>
    <row r="25" spans="2:4" ht="24" customHeight="1" x14ac:dyDescent="0.25">
      <c r="B25" s="132" t="s">
        <v>60</v>
      </c>
      <c r="C25" s="407">
        <v>93981</v>
      </c>
      <c r="D25" s="59"/>
    </row>
    <row r="26" spans="2:4" ht="24" customHeight="1" x14ac:dyDescent="0.25">
      <c r="B26" s="132" t="s">
        <v>61</v>
      </c>
      <c r="C26" s="407">
        <v>37135</v>
      </c>
      <c r="D26" s="59"/>
    </row>
    <row r="27" spans="2:4" ht="24" customHeight="1" x14ac:dyDescent="0.25">
      <c r="B27" s="132" t="s">
        <v>62</v>
      </c>
      <c r="C27" s="407">
        <v>425924</v>
      </c>
      <c r="D27" s="59"/>
    </row>
    <row r="28" spans="2:4" ht="24" customHeight="1" x14ac:dyDescent="0.25">
      <c r="B28" s="132" t="s">
        <v>63</v>
      </c>
      <c r="C28" s="407">
        <v>30064</v>
      </c>
      <c r="D28" s="59"/>
    </row>
    <row r="29" spans="2:4" ht="24" customHeight="1" thickBot="1" x14ac:dyDescent="0.3">
      <c r="B29" s="132" t="s">
        <v>64</v>
      </c>
      <c r="C29" s="407">
        <v>65229</v>
      </c>
      <c r="D29" s="59"/>
    </row>
    <row r="30" spans="2:4" ht="24" customHeight="1" thickBot="1" x14ac:dyDescent="0.3">
      <c r="B30" s="134" t="s">
        <v>65</v>
      </c>
      <c r="C30" s="421">
        <f>SUM(C10:C29)</f>
        <v>1235456</v>
      </c>
    </row>
    <row r="31" spans="2:4" x14ac:dyDescent="0.25">
      <c r="B31" s="8"/>
      <c r="C31" s="8"/>
    </row>
    <row r="32" spans="2:4" x14ac:dyDescent="0.25">
      <c r="B32" s="8" t="s">
        <v>169</v>
      </c>
      <c r="C32" s="8"/>
    </row>
    <row r="33" spans="2:3" x14ac:dyDescent="0.25">
      <c r="B33" s="1245" t="s">
        <v>365</v>
      </c>
      <c r="C33" s="1245"/>
    </row>
    <row r="34" spans="2:3" x14ac:dyDescent="0.25">
      <c r="B34" s="1245"/>
      <c r="C34" s="1245"/>
    </row>
  </sheetData>
  <mergeCells count="6">
    <mergeCell ref="B1:C1"/>
    <mergeCell ref="B33:C3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3"/>
  <sheetViews>
    <sheetView workbookViewId="0">
      <selection activeCell="A3" sqref="A3:G3"/>
    </sheetView>
  </sheetViews>
  <sheetFormatPr baseColWidth="10" defaultRowHeight="15" x14ac:dyDescent="0.25"/>
  <cols>
    <col min="1" max="1" width="22.85546875" bestFit="1" customWidth="1"/>
    <col min="2" max="7" width="17" bestFit="1" customWidth="1"/>
  </cols>
  <sheetData>
    <row r="1" spans="1:8" x14ac:dyDescent="0.25">
      <c r="A1" s="1244"/>
      <c r="B1" s="1244"/>
      <c r="C1" s="1244"/>
      <c r="D1" s="1244"/>
      <c r="E1" s="1244"/>
      <c r="F1" s="1244"/>
      <c r="G1" s="1244"/>
    </row>
    <row r="2" spans="1:8" x14ac:dyDescent="0.25">
      <c r="A2" s="85"/>
      <c r="B2" s="85"/>
      <c r="C2" s="85"/>
      <c r="D2" s="85"/>
      <c r="E2" s="85"/>
      <c r="F2" s="85"/>
      <c r="G2" s="85"/>
    </row>
    <row r="3" spans="1:8" x14ac:dyDescent="0.25">
      <c r="A3" s="1244" t="s">
        <v>268</v>
      </c>
      <c r="B3" s="1244"/>
      <c r="C3" s="1244"/>
      <c r="D3" s="1244"/>
      <c r="E3" s="1244"/>
      <c r="F3" s="1244"/>
      <c r="G3" s="1244"/>
    </row>
    <row r="4" spans="1:8" x14ac:dyDescent="0.25">
      <c r="A4" s="85"/>
      <c r="B4" s="85"/>
      <c r="C4" s="85"/>
      <c r="D4" s="85"/>
      <c r="E4" s="85"/>
      <c r="F4" s="85"/>
      <c r="G4" s="85"/>
    </row>
    <row r="5" spans="1:8" x14ac:dyDescent="0.25">
      <c r="A5" s="1244" t="s">
        <v>269</v>
      </c>
      <c r="B5" s="1244"/>
      <c r="C5" s="1244"/>
      <c r="D5" s="1244"/>
      <c r="E5" s="1244"/>
      <c r="F5" s="1244"/>
      <c r="G5" s="1244"/>
    </row>
    <row r="6" spans="1:8" ht="15.75" thickBot="1" x14ac:dyDescent="0.3"/>
    <row r="7" spans="1:8" x14ac:dyDescent="0.25">
      <c r="A7" s="1248" t="s">
        <v>235</v>
      </c>
      <c r="B7" s="1250">
        <v>2020</v>
      </c>
      <c r="C7" s="1251"/>
      <c r="D7" s="1252"/>
      <c r="E7" s="1250">
        <v>2021</v>
      </c>
      <c r="F7" s="1251"/>
      <c r="G7" s="1252"/>
      <c r="H7" s="180"/>
    </row>
    <row r="8" spans="1:8" ht="15.75" thickBot="1" x14ac:dyDescent="0.3">
      <c r="A8" s="1249"/>
      <c r="B8" s="159" t="s">
        <v>262</v>
      </c>
      <c r="C8" s="155" t="s">
        <v>270</v>
      </c>
      <c r="D8" s="418" t="s">
        <v>82</v>
      </c>
      <c r="E8" s="159" t="s">
        <v>262</v>
      </c>
      <c r="F8" s="155" t="s">
        <v>270</v>
      </c>
      <c r="G8" s="418" t="s">
        <v>82</v>
      </c>
      <c r="H8" s="129"/>
    </row>
    <row r="9" spans="1:8" x14ac:dyDescent="0.25">
      <c r="A9" s="408" t="s">
        <v>146</v>
      </c>
      <c r="B9" s="409">
        <v>3500020</v>
      </c>
      <c r="C9" s="410">
        <v>6941612</v>
      </c>
      <c r="D9" s="411">
        <f t="shared" ref="D9:D28" si="0">B9+C9</f>
        <v>10441632</v>
      </c>
      <c r="E9" s="412">
        <v>3428296.17</v>
      </c>
      <c r="F9" s="410">
        <v>8725757.5600000005</v>
      </c>
      <c r="G9" s="411">
        <f t="shared" ref="G9:G28" si="1">E9+F9</f>
        <v>12154053.73</v>
      </c>
    </row>
    <row r="10" spans="1:8" x14ac:dyDescent="0.25">
      <c r="A10" s="413" t="s">
        <v>147</v>
      </c>
      <c r="B10" s="414">
        <v>2231357</v>
      </c>
      <c r="C10" s="152">
        <v>2601257</v>
      </c>
      <c r="D10" s="415">
        <f t="shared" si="0"/>
        <v>4832614</v>
      </c>
      <c r="E10" s="416">
        <v>3406773.3</v>
      </c>
      <c r="F10" s="152">
        <v>3476192.2</v>
      </c>
      <c r="G10" s="415">
        <f t="shared" si="1"/>
        <v>6882965.5</v>
      </c>
    </row>
    <row r="11" spans="1:8" x14ac:dyDescent="0.25">
      <c r="A11" s="413" t="s">
        <v>148</v>
      </c>
      <c r="B11" s="414">
        <v>1912426</v>
      </c>
      <c r="C11" s="152">
        <v>1459326</v>
      </c>
      <c r="D11" s="415">
        <f t="shared" si="0"/>
        <v>3371752</v>
      </c>
      <c r="E11" s="416">
        <v>2083457.21</v>
      </c>
      <c r="F11" s="152">
        <v>1269070.3700000001</v>
      </c>
      <c r="G11" s="415">
        <f t="shared" si="1"/>
        <v>3352527.58</v>
      </c>
    </row>
    <row r="12" spans="1:8" x14ac:dyDescent="0.25">
      <c r="A12" s="413" t="s">
        <v>149</v>
      </c>
      <c r="B12" s="414">
        <v>169582223</v>
      </c>
      <c r="C12" s="152">
        <v>131052008</v>
      </c>
      <c r="D12" s="415">
        <f t="shared" si="0"/>
        <v>300634231</v>
      </c>
      <c r="E12" s="416">
        <v>183471756.25</v>
      </c>
      <c r="F12" s="152">
        <v>152996495.66</v>
      </c>
      <c r="G12" s="415">
        <f t="shared" si="1"/>
        <v>336468251.90999997</v>
      </c>
    </row>
    <row r="13" spans="1:8" x14ac:dyDescent="0.25">
      <c r="A13" s="413" t="s">
        <v>150</v>
      </c>
      <c r="B13" s="414">
        <v>21796786</v>
      </c>
      <c r="C13" s="152">
        <v>11480958</v>
      </c>
      <c r="D13" s="415">
        <f t="shared" si="0"/>
        <v>33277744</v>
      </c>
      <c r="E13" s="416">
        <v>22835524.52</v>
      </c>
      <c r="F13" s="152">
        <v>36651534.579999998</v>
      </c>
      <c r="G13" s="415">
        <f t="shared" si="1"/>
        <v>59487059.099999994</v>
      </c>
    </row>
    <row r="14" spans="1:8" x14ac:dyDescent="0.25">
      <c r="A14" s="413" t="s">
        <v>151</v>
      </c>
      <c r="B14" s="414">
        <v>20358</v>
      </c>
      <c r="C14" s="152">
        <v>99556</v>
      </c>
      <c r="D14" s="415">
        <f t="shared" si="0"/>
        <v>119914</v>
      </c>
      <c r="E14" s="416">
        <v>38491.81</v>
      </c>
      <c r="F14" s="152">
        <v>133376.59</v>
      </c>
      <c r="G14" s="415">
        <f t="shared" si="1"/>
        <v>171868.4</v>
      </c>
    </row>
    <row r="15" spans="1:8" x14ac:dyDescent="0.25">
      <c r="A15" s="413" t="s">
        <v>152</v>
      </c>
      <c r="B15" s="414">
        <v>17488</v>
      </c>
      <c r="C15" s="152">
        <v>107214</v>
      </c>
      <c r="D15" s="415">
        <f t="shared" si="0"/>
        <v>124702</v>
      </c>
      <c r="E15" s="416">
        <v>13226.89</v>
      </c>
      <c r="F15" s="152">
        <v>134994</v>
      </c>
      <c r="G15" s="415">
        <f t="shared" si="1"/>
        <v>148220.89000000001</v>
      </c>
    </row>
    <row r="16" spans="1:8" x14ac:dyDescent="0.25">
      <c r="A16" s="413" t="s">
        <v>153</v>
      </c>
      <c r="B16" s="414">
        <v>5542908</v>
      </c>
      <c r="C16" s="152">
        <v>7301470</v>
      </c>
      <c r="D16" s="415">
        <f t="shared" si="0"/>
        <v>12844378</v>
      </c>
      <c r="E16" s="416">
        <v>6600442.2699999996</v>
      </c>
      <c r="F16" s="152">
        <v>6625182.7699999996</v>
      </c>
      <c r="G16" s="415">
        <f t="shared" si="1"/>
        <v>13225625.039999999</v>
      </c>
    </row>
    <row r="17" spans="1:8" x14ac:dyDescent="0.25">
      <c r="A17" s="413" t="s">
        <v>154</v>
      </c>
      <c r="B17" s="414">
        <v>1764752</v>
      </c>
      <c r="C17" s="152">
        <v>2015966</v>
      </c>
      <c r="D17" s="415">
        <f t="shared" si="0"/>
        <v>3780718</v>
      </c>
      <c r="E17" s="416">
        <v>2157750.75</v>
      </c>
      <c r="F17" s="152">
        <v>2931081.54</v>
      </c>
      <c r="G17" s="415">
        <f t="shared" si="1"/>
        <v>5088832.29</v>
      </c>
    </row>
    <row r="18" spans="1:8" x14ac:dyDescent="0.25">
      <c r="A18" s="413" t="s">
        <v>155</v>
      </c>
      <c r="B18" s="414">
        <v>318086</v>
      </c>
      <c r="C18" s="152">
        <v>374410</v>
      </c>
      <c r="D18" s="415">
        <f t="shared" si="0"/>
        <v>692496</v>
      </c>
      <c r="E18" s="416">
        <v>515300</v>
      </c>
      <c r="F18" s="152">
        <v>323391.02</v>
      </c>
      <c r="G18" s="415">
        <f t="shared" si="1"/>
        <v>838691.02</v>
      </c>
    </row>
    <row r="19" spans="1:8" x14ac:dyDescent="0.25">
      <c r="A19" s="413" t="s">
        <v>156</v>
      </c>
      <c r="B19" s="414">
        <v>1417918</v>
      </c>
      <c r="C19" s="152">
        <v>980270</v>
      </c>
      <c r="D19" s="415">
        <f t="shared" si="0"/>
        <v>2398188</v>
      </c>
      <c r="E19" s="416">
        <v>1688702.38</v>
      </c>
      <c r="F19" s="152">
        <v>1143376.42</v>
      </c>
      <c r="G19" s="415">
        <f t="shared" si="1"/>
        <v>2832078.8</v>
      </c>
    </row>
    <row r="20" spans="1:8" x14ac:dyDescent="0.25">
      <c r="A20" s="413" t="s">
        <v>157</v>
      </c>
      <c r="B20" s="414">
        <v>626941</v>
      </c>
      <c r="C20" s="152">
        <v>2735104</v>
      </c>
      <c r="D20" s="415">
        <f t="shared" si="0"/>
        <v>3362045</v>
      </c>
      <c r="E20" s="416">
        <v>710503.91</v>
      </c>
      <c r="F20" s="152">
        <v>2437151.34</v>
      </c>
      <c r="G20" s="415">
        <f t="shared" si="1"/>
        <v>3147655.25</v>
      </c>
    </row>
    <row r="21" spans="1:8" x14ac:dyDescent="0.25">
      <c r="A21" s="413" t="s">
        <v>158</v>
      </c>
      <c r="B21" s="414">
        <v>1675643</v>
      </c>
      <c r="C21" s="152">
        <v>3365029</v>
      </c>
      <c r="D21" s="415">
        <f t="shared" si="0"/>
        <v>5040672</v>
      </c>
      <c r="E21" s="416">
        <v>2970266.37</v>
      </c>
      <c r="F21" s="152">
        <v>3573130.23</v>
      </c>
      <c r="G21" s="415">
        <f t="shared" si="1"/>
        <v>6543396.5999999996</v>
      </c>
    </row>
    <row r="22" spans="1:8" x14ac:dyDescent="0.25">
      <c r="A22" s="413" t="s">
        <v>159</v>
      </c>
      <c r="B22" s="414">
        <v>876244</v>
      </c>
      <c r="C22" s="152">
        <v>971948</v>
      </c>
      <c r="D22" s="415">
        <f t="shared" si="0"/>
        <v>1848192</v>
      </c>
      <c r="E22" s="416">
        <v>1014174.46</v>
      </c>
      <c r="F22" s="152">
        <v>1316587.1299999999</v>
      </c>
      <c r="G22" s="415">
        <f t="shared" si="1"/>
        <v>2330761.59</v>
      </c>
    </row>
    <row r="23" spans="1:8" x14ac:dyDescent="0.25">
      <c r="A23" s="413" t="s">
        <v>160</v>
      </c>
      <c r="B23" s="414">
        <v>2025415</v>
      </c>
      <c r="C23" s="152">
        <v>1257153</v>
      </c>
      <c r="D23" s="415">
        <f t="shared" si="0"/>
        <v>3282568</v>
      </c>
      <c r="E23" s="416">
        <v>2915271.78</v>
      </c>
      <c r="F23" s="152">
        <v>1377430.34</v>
      </c>
      <c r="G23" s="415">
        <f t="shared" si="1"/>
        <v>4292702.12</v>
      </c>
    </row>
    <row r="24" spans="1:8" x14ac:dyDescent="0.25">
      <c r="A24" s="413" t="s">
        <v>161</v>
      </c>
      <c r="B24" s="414">
        <v>3730437</v>
      </c>
      <c r="C24" s="152">
        <v>12851147</v>
      </c>
      <c r="D24" s="415">
        <f t="shared" si="0"/>
        <v>16581584</v>
      </c>
      <c r="E24" s="416">
        <v>5373173.21</v>
      </c>
      <c r="F24" s="152">
        <v>14876227.84</v>
      </c>
      <c r="G24" s="415">
        <f t="shared" si="1"/>
        <v>20249401.050000001</v>
      </c>
    </row>
    <row r="25" spans="1:8" x14ac:dyDescent="0.25">
      <c r="A25" s="413" t="s">
        <v>162</v>
      </c>
      <c r="B25" s="414">
        <v>2622915</v>
      </c>
      <c r="C25" s="152">
        <v>2551570</v>
      </c>
      <c r="D25" s="415">
        <f t="shared" si="0"/>
        <v>5174485</v>
      </c>
      <c r="E25" s="416">
        <v>4197224.25</v>
      </c>
      <c r="F25" s="152">
        <v>2153542.64</v>
      </c>
      <c r="G25" s="415">
        <f t="shared" si="1"/>
        <v>6350766.8900000006</v>
      </c>
    </row>
    <row r="26" spans="1:8" x14ac:dyDescent="0.25">
      <c r="A26" s="413" t="s">
        <v>163</v>
      </c>
      <c r="B26" s="414">
        <v>79416828</v>
      </c>
      <c r="C26" s="152">
        <v>187103945</v>
      </c>
      <c r="D26" s="415">
        <f t="shared" si="0"/>
        <v>266520773</v>
      </c>
      <c r="E26" s="416">
        <v>83092270.290000007</v>
      </c>
      <c r="F26" s="152">
        <v>188296962.49000001</v>
      </c>
      <c r="G26" s="415">
        <f t="shared" si="1"/>
        <v>271389232.78000003</v>
      </c>
    </row>
    <row r="27" spans="1:8" x14ac:dyDescent="0.25">
      <c r="A27" s="413" t="s">
        <v>164</v>
      </c>
      <c r="B27" s="414">
        <v>1362858</v>
      </c>
      <c r="C27" s="152">
        <v>2539590</v>
      </c>
      <c r="D27" s="415">
        <f t="shared" si="0"/>
        <v>3902448</v>
      </c>
      <c r="E27" s="416">
        <v>1556664.93</v>
      </c>
      <c r="F27" s="152">
        <v>1020973.93</v>
      </c>
      <c r="G27" s="415">
        <f t="shared" si="1"/>
        <v>2577638.86</v>
      </c>
    </row>
    <row r="28" spans="1:8" ht="15.75" thickBot="1" x14ac:dyDescent="0.3">
      <c r="A28" s="417" t="s">
        <v>165</v>
      </c>
      <c r="B28" s="160">
        <v>10916077</v>
      </c>
      <c r="C28" s="156">
        <v>29210060</v>
      </c>
      <c r="D28" s="157">
        <f t="shared" si="0"/>
        <v>40126137</v>
      </c>
      <c r="E28" s="161">
        <v>15142198.689999999</v>
      </c>
      <c r="F28" s="156">
        <v>28172356.859999999</v>
      </c>
      <c r="G28" s="157">
        <f t="shared" si="1"/>
        <v>43314555.549999997</v>
      </c>
    </row>
    <row r="29" spans="1:8" ht="15.75" thickBot="1" x14ac:dyDescent="0.3">
      <c r="A29" s="158" t="s">
        <v>65</v>
      </c>
      <c r="B29" s="160">
        <f>SUM(B9:B28)</f>
        <v>311357680</v>
      </c>
      <c r="C29" s="156">
        <f t="shared" ref="C29" si="2">SUM(C9:C28)</f>
        <v>406999593</v>
      </c>
      <c r="D29" s="157">
        <f>SUM(D9:D28)</f>
        <v>718357273</v>
      </c>
      <c r="E29" s="161">
        <f>SUM(E9:E28)</f>
        <v>343211469.44000006</v>
      </c>
      <c r="F29" s="161">
        <f>SUM(F9:F28)</f>
        <v>457634815.51000005</v>
      </c>
      <c r="G29" s="157">
        <f>SUM(G9:G28)</f>
        <v>800846284.94999993</v>
      </c>
      <c r="H29" s="181"/>
    </row>
    <row r="32" spans="1:8" x14ac:dyDescent="0.25">
      <c r="C32" s="104"/>
      <c r="E32" s="131"/>
    </row>
    <row r="33" spans="6:6" x14ac:dyDescent="0.25">
      <c r="F33" s="131"/>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6"/>
  <sheetViews>
    <sheetView workbookViewId="0">
      <selection activeCell="B10" sqref="B10"/>
    </sheetView>
  </sheetViews>
  <sheetFormatPr baseColWidth="10" defaultRowHeight="15" x14ac:dyDescent="0.25"/>
  <cols>
    <col min="1" max="1" width="16.5703125" customWidth="1"/>
    <col min="2" max="2" width="9.28515625" customWidth="1"/>
    <col min="3" max="14" width="11.7109375" bestFit="1" customWidth="1"/>
    <col min="15" max="15" width="13" bestFit="1" customWidth="1"/>
    <col min="16" max="16" width="12.7109375" bestFit="1" customWidth="1"/>
  </cols>
  <sheetData>
    <row r="1" spans="1:17" ht="15.75" x14ac:dyDescent="0.25">
      <c r="A1" s="1253" t="s">
        <v>277</v>
      </c>
      <c r="B1" s="1253"/>
      <c r="C1" s="1253"/>
      <c r="D1" s="1253"/>
      <c r="E1" s="1253"/>
      <c r="F1" s="1253"/>
      <c r="G1" s="1253"/>
      <c r="H1" s="1253"/>
      <c r="I1" s="1253"/>
      <c r="J1" s="1253"/>
      <c r="K1" s="1253"/>
      <c r="L1" s="1253"/>
      <c r="M1" s="1253"/>
      <c r="N1" s="1253"/>
      <c r="O1" s="1253"/>
      <c r="P1" s="597"/>
      <c r="Q1" s="597"/>
    </row>
    <row r="2" spans="1:17" x14ac:dyDescent="0.25">
      <c r="A2" s="1254" t="s">
        <v>278</v>
      </c>
      <c r="B2" s="1254"/>
      <c r="C2" s="1254"/>
      <c r="D2" s="1254"/>
      <c r="E2" s="1254"/>
      <c r="F2" s="1254"/>
      <c r="G2" s="1254"/>
      <c r="H2" s="1254"/>
      <c r="I2" s="1254"/>
      <c r="J2" s="1254"/>
      <c r="K2" s="1254"/>
      <c r="L2" s="1254"/>
      <c r="M2" s="1254"/>
      <c r="N2" s="1254"/>
      <c r="O2" s="1254"/>
      <c r="P2" s="597"/>
      <c r="Q2" s="597"/>
    </row>
    <row r="3" spans="1:17" x14ac:dyDescent="0.25">
      <c r="A3" s="1254" t="s">
        <v>279</v>
      </c>
      <c r="B3" s="1254"/>
      <c r="C3" s="1254"/>
      <c r="D3" s="1254"/>
      <c r="E3" s="1254"/>
      <c r="F3" s="1254"/>
      <c r="G3" s="1254"/>
      <c r="H3" s="1254"/>
      <c r="I3" s="1254"/>
      <c r="J3" s="1254"/>
      <c r="K3" s="1254"/>
      <c r="L3" s="1254"/>
      <c r="M3" s="1254"/>
      <c r="N3" s="1254"/>
      <c r="O3" s="1254"/>
      <c r="P3" s="597"/>
      <c r="Q3" s="597"/>
    </row>
    <row r="4" spans="1:17" x14ac:dyDescent="0.25">
      <c r="A4" s="1255" t="s">
        <v>340</v>
      </c>
      <c r="B4" s="1255"/>
      <c r="C4" s="1255"/>
      <c r="D4" s="1255"/>
      <c r="E4" s="1255"/>
      <c r="F4" s="1255"/>
      <c r="G4" s="1255"/>
      <c r="H4" s="1255"/>
      <c r="I4" s="1255"/>
      <c r="J4" s="1255"/>
      <c r="K4" s="1255"/>
      <c r="L4" s="1255"/>
      <c r="M4" s="1255"/>
      <c r="N4" s="1255"/>
      <c r="O4" s="1255"/>
      <c r="P4" s="597"/>
      <c r="Q4" s="597"/>
    </row>
    <row r="5" spans="1:17" ht="15.75" thickBot="1" x14ac:dyDescent="0.3">
      <c r="A5" s="597"/>
      <c r="B5" s="597"/>
      <c r="C5" s="597"/>
      <c r="D5" s="597"/>
      <c r="E5" s="597"/>
      <c r="F5" s="597"/>
      <c r="G5" s="597"/>
      <c r="H5" s="597"/>
      <c r="I5" s="597"/>
      <c r="J5" s="597"/>
      <c r="K5" s="597"/>
      <c r="L5" s="597"/>
      <c r="M5" s="597"/>
      <c r="N5" s="597"/>
      <c r="O5" s="597"/>
      <c r="P5" s="597"/>
      <c r="Q5" s="597"/>
    </row>
    <row r="6" spans="1:17" ht="24" thickBot="1" x14ac:dyDescent="0.3">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c r="P6" s="597"/>
      <c r="Q6" s="597"/>
    </row>
    <row r="7" spans="1:17" x14ac:dyDescent="0.25">
      <c r="A7" s="602" t="s">
        <v>282</v>
      </c>
      <c r="B7" s="603">
        <f>'[2]FGP simpl'!$C$16</f>
        <v>3.6636711021849497</v>
      </c>
      <c r="C7" s="604">
        <f t="shared" ref="C7:C26" si="0">$C$32*B7/100</f>
        <v>7321.4505632786977</v>
      </c>
      <c r="D7" s="604">
        <f t="shared" ref="D7:D26" si="1">$D$32*B7/100</f>
        <v>7321.4505632786977</v>
      </c>
      <c r="E7" s="604">
        <f t="shared" ref="E7:E26" si="2">$E$32*B7/100</f>
        <v>7321.4505632786977</v>
      </c>
      <c r="F7" s="604">
        <f t="shared" ref="F7:F26" si="3">$F$32*B7/100</f>
        <v>7321.4505632786977</v>
      </c>
      <c r="G7" s="604">
        <f t="shared" ref="G7:G26" si="4">$G$32*B7/100</f>
        <v>7321.4505632786977</v>
      </c>
      <c r="H7" s="604">
        <f t="shared" ref="H7:H26" si="5">$H$32*B7/100</f>
        <v>7321.4505632786977</v>
      </c>
      <c r="I7" s="604">
        <f t="shared" ref="I7:I26" si="6">$I$32*B7/100</f>
        <v>7321.4505632786977</v>
      </c>
      <c r="J7" s="604">
        <f t="shared" ref="J7:J26" si="7">$J$32*B7/100</f>
        <v>7321.4505632786977</v>
      </c>
      <c r="K7" s="604">
        <f t="shared" ref="K7:K26" si="8">$K$32*B7/100</f>
        <v>7321.4505632786977</v>
      </c>
      <c r="L7" s="604">
        <f t="shared" ref="L7:L26" si="9">$L$32*B7/100</f>
        <v>7321.4505632786977</v>
      </c>
      <c r="M7" s="604">
        <f t="shared" ref="M7:M26" si="10">$M$32*B7/100</f>
        <v>7321.4505632786977</v>
      </c>
      <c r="N7" s="604">
        <f t="shared" ref="N7:N26" si="11">$N$32*B7/100</f>
        <v>7321.4505632786977</v>
      </c>
      <c r="O7" s="605">
        <f>SUM(C7:N7)</f>
        <v>87857.406759344391</v>
      </c>
      <c r="P7" s="606"/>
      <c r="Q7" s="606"/>
    </row>
    <row r="8" spans="1:17" x14ac:dyDescent="0.25">
      <c r="A8" s="602" t="s">
        <v>147</v>
      </c>
      <c r="B8" s="603">
        <v>2.8774681766767136</v>
      </c>
      <c r="C8" s="604">
        <f t="shared" si="0"/>
        <v>5750.3090248418084</v>
      </c>
      <c r="D8" s="604">
        <f t="shared" si="1"/>
        <v>5750.3090248418084</v>
      </c>
      <c r="E8" s="604">
        <f t="shared" si="2"/>
        <v>5750.3090248418084</v>
      </c>
      <c r="F8" s="604">
        <f t="shared" si="3"/>
        <v>5750.3090248418084</v>
      </c>
      <c r="G8" s="604">
        <f t="shared" si="4"/>
        <v>5750.3090248418084</v>
      </c>
      <c r="H8" s="604">
        <f t="shared" si="5"/>
        <v>5750.3090248418084</v>
      </c>
      <c r="I8" s="604">
        <f t="shared" si="6"/>
        <v>5750.3090248418084</v>
      </c>
      <c r="J8" s="604">
        <f t="shared" si="7"/>
        <v>5750.3090248418084</v>
      </c>
      <c r="K8" s="604">
        <f t="shared" si="8"/>
        <v>5750.3090248418084</v>
      </c>
      <c r="L8" s="604">
        <f t="shared" si="9"/>
        <v>5750.3090248418084</v>
      </c>
      <c r="M8" s="604">
        <f t="shared" si="10"/>
        <v>5750.3090248418084</v>
      </c>
      <c r="N8" s="604">
        <f t="shared" si="11"/>
        <v>5750.3090248418084</v>
      </c>
      <c r="O8" s="605">
        <f t="shared" ref="O8:O26" si="12">SUM(C8:N8)</f>
        <v>69003.708298101701</v>
      </c>
      <c r="P8" s="606"/>
      <c r="Q8" s="597"/>
    </row>
    <row r="9" spans="1:17" x14ac:dyDescent="0.25">
      <c r="A9" s="602" t="s">
        <v>148</v>
      </c>
      <c r="B9" s="603">
        <v>4.7152682285520395</v>
      </c>
      <c r="C9" s="604">
        <f t="shared" si="0"/>
        <v>9422.9537163840378</v>
      </c>
      <c r="D9" s="604">
        <f t="shared" si="1"/>
        <v>9422.9537163840378</v>
      </c>
      <c r="E9" s="604">
        <f t="shared" si="2"/>
        <v>9422.9537163840378</v>
      </c>
      <c r="F9" s="604">
        <f t="shared" si="3"/>
        <v>9422.9537163840378</v>
      </c>
      <c r="G9" s="604">
        <f t="shared" si="4"/>
        <v>9422.9537163840378</v>
      </c>
      <c r="H9" s="604">
        <f t="shared" si="5"/>
        <v>9422.9537163840378</v>
      </c>
      <c r="I9" s="604">
        <f t="shared" si="6"/>
        <v>9422.9537163840378</v>
      </c>
      <c r="J9" s="604">
        <f t="shared" si="7"/>
        <v>9422.9537163840378</v>
      </c>
      <c r="K9" s="604">
        <f t="shared" si="8"/>
        <v>9422.9537163840378</v>
      </c>
      <c r="L9" s="604">
        <f t="shared" si="9"/>
        <v>9422.9537163840378</v>
      </c>
      <c r="M9" s="604">
        <f t="shared" si="10"/>
        <v>9422.9537163840378</v>
      </c>
      <c r="N9" s="604">
        <f t="shared" si="11"/>
        <v>9422.9537163840378</v>
      </c>
      <c r="O9" s="605">
        <f t="shared" si="12"/>
        <v>113075.44459660847</v>
      </c>
      <c r="P9" s="606"/>
      <c r="Q9" s="597"/>
    </row>
    <row r="10" spans="1:17" x14ac:dyDescent="0.25">
      <c r="A10" s="602" t="s">
        <v>283</v>
      </c>
      <c r="B10" s="603">
        <v>9.1392838894846484</v>
      </c>
      <c r="C10" s="604">
        <f t="shared" si="0"/>
        <v>18263.870668064515</v>
      </c>
      <c r="D10" s="604">
        <f t="shared" si="1"/>
        <v>18263.870668064515</v>
      </c>
      <c r="E10" s="604">
        <f t="shared" si="2"/>
        <v>18263.870668064515</v>
      </c>
      <c r="F10" s="604">
        <f t="shared" si="3"/>
        <v>18263.870668064515</v>
      </c>
      <c r="G10" s="604">
        <f t="shared" si="4"/>
        <v>18263.870668064515</v>
      </c>
      <c r="H10" s="604">
        <f t="shared" si="5"/>
        <v>18263.870668064515</v>
      </c>
      <c r="I10" s="604">
        <f t="shared" si="6"/>
        <v>18263.870668064515</v>
      </c>
      <c r="J10" s="604">
        <f t="shared" si="7"/>
        <v>18263.870668064515</v>
      </c>
      <c r="K10" s="604">
        <f t="shared" si="8"/>
        <v>18263.870668064515</v>
      </c>
      <c r="L10" s="604">
        <f t="shared" si="9"/>
        <v>18263.870668064515</v>
      </c>
      <c r="M10" s="604">
        <f t="shared" si="10"/>
        <v>18263.870668064515</v>
      </c>
      <c r="N10" s="604">
        <f t="shared" si="11"/>
        <v>18263.870668064515</v>
      </c>
      <c r="O10" s="605">
        <f t="shared" si="12"/>
        <v>219166.44801677417</v>
      </c>
      <c r="P10" s="606"/>
      <c r="Q10" s="597"/>
    </row>
    <row r="11" spans="1:17" x14ac:dyDescent="0.25">
      <c r="A11" s="602" t="s">
        <v>150</v>
      </c>
      <c r="B11" s="603">
        <v>5.3963653133391265</v>
      </c>
      <c r="C11" s="604">
        <f t="shared" si="0"/>
        <v>10784.052596708738</v>
      </c>
      <c r="D11" s="604">
        <f t="shared" si="1"/>
        <v>10784.052596708738</v>
      </c>
      <c r="E11" s="604">
        <f t="shared" si="2"/>
        <v>10784.052596708738</v>
      </c>
      <c r="F11" s="604">
        <f t="shared" si="3"/>
        <v>10784.052596708738</v>
      </c>
      <c r="G11" s="604">
        <f t="shared" si="4"/>
        <v>10784.052596708738</v>
      </c>
      <c r="H11" s="604">
        <f t="shared" si="5"/>
        <v>10784.052596708738</v>
      </c>
      <c r="I11" s="604">
        <f t="shared" si="6"/>
        <v>10784.052596708738</v>
      </c>
      <c r="J11" s="604">
        <f t="shared" si="7"/>
        <v>10784.052596708738</v>
      </c>
      <c r="K11" s="604">
        <f t="shared" si="8"/>
        <v>10784.052596708738</v>
      </c>
      <c r="L11" s="604">
        <f t="shared" si="9"/>
        <v>10784.052596708738</v>
      </c>
      <c r="M11" s="604">
        <f t="shared" si="10"/>
        <v>10784.052596708738</v>
      </c>
      <c r="N11" s="604">
        <f t="shared" si="11"/>
        <v>10784.052596708738</v>
      </c>
      <c r="O11" s="605">
        <f t="shared" si="12"/>
        <v>129408.63116050482</v>
      </c>
      <c r="P11" s="606"/>
      <c r="Q11" s="597"/>
    </row>
    <row r="12" spans="1:17" x14ac:dyDescent="0.25">
      <c r="A12" s="602" t="s">
        <v>284</v>
      </c>
      <c r="B12" s="603">
        <v>3.6295907588400458</v>
      </c>
      <c r="C12" s="604">
        <f t="shared" si="0"/>
        <v>7253.3446820410309</v>
      </c>
      <c r="D12" s="604">
        <f t="shared" si="1"/>
        <v>7253.3446820410309</v>
      </c>
      <c r="E12" s="604">
        <f t="shared" si="2"/>
        <v>7253.3446820410309</v>
      </c>
      <c r="F12" s="604">
        <f t="shared" si="3"/>
        <v>7253.3446820410309</v>
      </c>
      <c r="G12" s="604">
        <f t="shared" si="4"/>
        <v>7253.3446820410309</v>
      </c>
      <c r="H12" s="604">
        <f t="shared" si="5"/>
        <v>7253.3446820410309</v>
      </c>
      <c r="I12" s="604">
        <f t="shared" si="6"/>
        <v>7253.3446820410309</v>
      </c>
      <c r="J12" s="604">
        <f t="shared" si="7"/>
        <v>7253.3446820410309</v>
      </c>
      <c r="K12" s="604">
        <f t="shared" si="8"/>
        <v>7253.3446820410309</v>
      </c>
      <c r="L12" s="604">
        <f t="shared" si="9"/>
        <v>7253.3446820410309</v>
      </c>
      <c r="M12" s="604">
        <f t="shared" si="10"/>
        <v>7253.3446820410309</v>
      </c>
      <c r="N12" s="604">
        <f t="shared" si="11"/>
        <v>7253.3446820410309</v>
      </c>
      <c r="O12" s="605">
        <f t="shared" si="12"/>
        <v>87040.136184492367</v>
      </c>
      <c r="P12" s="606"/>
      <c r="Q12" s="597"/>
    </row>
    <row r="13" spans="1:17" x14ac:dyDescent="0.25">
      <c r="A13" s="602" t="s">
        <v>152</v>
      </c>
      <c r="B13" s="603">
        <v>4.0700473326514279</v>
      </c>
      <c r="C13" s="604">
        <f t="shared" si="0"/>
        <v>8133.5495204360341</v>
      </c>
      <c r="D13" s="604">
        <f t="shared" si="1"/>
        <v>8133.5495204360341</v>
      </c>
      <c r="E13" s="604">
        <f t="shared" si="2"/>
        <v>8133.5495204360341</v>
      </c>
      <c r="F13" s="604">
        <f t="shared" si="3"/>
        <v>8133.5495204360341</v>
      </c>
      <c r="G13" s="604">
        <f t="shared" si="4"/>
        <v>8133.5495204360341</v>
      </c>
      <c r="H13" s="604">
        <f t="shared" si="5"/>
        <v>8133.5495204360341</v>
      </c>
      <c r="I13" s="604">
        <f t="shared" si="6"/>
        <v>8133.5495204360341</v>
      </c>
      <c r="J13" s="604">
        <f t="shared" si="7"/>
        <v>8133.5495204360341</v>
      </c>
      <c r="K13" s="604">
        <f t="shared" si="8"/>
        <v>8133.5495204360341</v>
      </c>
      <c r="L13" s="604">
        <f t="shared" si="9"/>
        <v>8133.5495204360341</v>
      </c>
      <c r="M13" s="604">
        <f t="shared" si="10"/>
        <v>8133.5495204360341</v>
      </c>
      <c r="N13" s="604">
        <f t="shared" si="11"/>
        <v>8133.5495204360341</v>
      </c>
      <c r="O13" s="605">
        <f t="shared" si="12"/>
        <v>97602.594245232409</v>
      </c>
      <c r="P13" s="606"/>
      <c r="Q13" s="597"/>
    </row>
    <row r="14" spans="1:17" x14ac:dyDescent="0.25">
      <c r="A14" s="602" t="s">
        <v>153</v>
      </c>
      <c r="B14" s="603">
        <v>3.2056447774490451</v>
      </c>
      <c r="C14" s="604">
        <f t="shared" si="0"/>
        <v>6406.1344773903538</v>
      </c>
      <c r="D14" s="604">
        <f t="shared" si="1"/>
        <v>6406.1344773903538</v>
      </c>
      <c r="E14" s="604">
        <f t="shared" si="2"/>
        <v>6406.1344773903538</v>
      </c>
      <c r="F14" s="604">
        <f t="shared" si="3"/>
        <v>6406.1344773903538</v>
      </c>
      <c r="G14" s="604">
        <f t="shared" si="4"/>
        <v>6406.1344773903538</v>
      </c>
      <c r="H14" s="604">
        <f t="shared" si="5"/>
        <v>6406.1344773903538</v>
      </c>
      <c r="I14" s="604">
        <f t="shared" si="6"/>
        <v>6406.1344773903538</v>
      </c>
      <c r="J14" s="604">
        <f t="shared" si="7"/>
        <v>6406.1344773903538</v>
      </c>
      <c r="K14" s="604">
        <f t="shared" si="8"/>
        <v>6406.1344773903538</v>
      </c>
      <c r="L14" s="604">
        <f t="shared" si="9"/>
        <v>6406.1344773903538</v>
      </c>
      <c r="M14" s="604">
        <f t="shared" si="10"/>
        <v>6406.1344773903538</v>
      </c>
      <c r="N14" s="604">
        <f t="shared" si="11"/>
        <v>6406.1344773903538</v>
      </c>
      <c r="O14" s="605">
        <f t="shared" si="12"/>
        <v>76873.613728684242</v>
      </c>
      <c r="P14" s="606"/>
      <c r="Q14" s="597"/>
    </row>
    <row r="15" spans="1:17" x14ac:dyDescent="0.25">
      <c r="A15" s="602" t="s">
        <v>154</v>
      </c>
      <c r="B15" s="603">
        <v>3.1677886526185874</v>
      </c>
      <c r="C15" s="604">
        <f t="shared" si="0"/>
        <v>6330.4831051101819</v>
      </c>
      <c r="D15" s="604">
        <f t="shared" si="1"/>
        <v>6330.4831051101819</v>
      </c>
      <c r="E15" s="604">
        <f t="shared" si="2"/>
        <v>6330.4831051101819</v>
      </c>
      <c r="F15" s="604">
        <f t="shared" si="3"/>
        <v>6330.4831051101819</v>
      </c>
      <c r="G15" s="604">
        <f t="shared" si="4"/>
        <v>6330.4831051101819</v>
      </c>
      <c r="H15" s="604">
        <f t="shared" si="5"/>
        <v>6330.4831051101819</v>
      </c>
      <c r="I15" s="604">
        <f t="shared" si="6"/>
        <v>6330.4831051101819</v>
      </c>
      <c r="J15" s="604">
        <f t="shared" si="7"/>
        <v>6330.4831051101819</v>
      </c>
      <c r="K15" s="604">
        <f t="shared" si="8"/>
        <v>6330.4831051101819</v>
      </c>
      <c r="L15" s="604">
        <f t="shared" si="9"/>
        <v>6330.4831051101819</v>
      </c>
      <c r="M15" s="604">
        <f t="shared" si="10"/>
        <v>6330.4831051101819</v>
      </c>
      <c r="N15" s="604">
        <f t="shared" si="11"/>
        <v>6330.4831051101819</v>
      </c>
      <c r="O15" s="605">
        <f t="shared" si="12"/>
        <v>75965.797261322165</v>
      </c>
      <c r="P15" s="606"/>
      <c r="Q15" s="597"/>
    </row>
    <row r="16" spans="1:17" x14ac:dyDescent="0.25">
      <c r="A16" s="602" t="s">
        <v>155</v>
      </c>
      <c r="B16" s="603">
        <v>2.8145431996763457</v>
      </c>
      <c r="C16" s="604">
        <f t="shared" si="0"/>
        <v>5624.5602620697118</v>
      </c>
      <c r="D16" s="604">
        <f t="shared" si="1"/>
        <v>5624.5602620697118</v>
      </c>
      <c r="E16" s="604">
        <f t="shared" si="2"/>
        <v>5624.5602620697118</v>
      </c>
      <c r="F16" s="604">
        <f t="shared" si="3"/>
        <v>5624.5602620697118</v>
      </c>
      <c r="G16" s="604">
        <f t="shared" si="4"/>
        <v>5624.5602620697118</v>
      </c>
      <c r="H16" s="604">
        <f t="shared" si="5"/>
        <v>5624.5602620697118</v>
      </c>
      <c r="I16" s="604">
        <f t="shared" si="6"/>
        <v>5624.5602620697118</v>
      </c>
      <c r="J16" s="604">
        <f t="shared" si="7"/>
        <v>5624.5602620697118</v>
      </c>
      <c r="K16" s="604">
        <f t="shared" si="8"/>
        <v>5624.5602620697118</v>
      </c>
      <c r="L16" s="604">
        <f t="shared" si="9"/>
        <v>5624.5602620697118</v>
      </c>
      <c r="M16" s="604">
        <f t="shared" si="10"/>
        <v>5624.5602620697118</v>
      </c>
      <c r="N16" s="604">
        <f t="shared" si="11"/>
        <v>5624.5602620697118</v>
      </c>
      <c r="O16" s="605">
        <f t="shared" si="12"/>
        <v>67494.723144836535</v>
      </c>
      <c r="P16" s="606"/>
      <c r="Q16" s="597"/>
    </row>
    <row r="17" spans="1:16" x14ac:dyDescent="0.25">
      <c r="A17" s="602" t="s">
        <v>156</v>
      </c>
      <c r="B17" s="603">
        <v>3.814501471077032</v>
      </c>
      <c r="C17" s="604">
        <f t="shared" si="0"/>
        <v>7622.868746975887</v>
      </c>
      <c r="D17" s="604">
        <f t="shared" si="1"/>
        <v>7622.868746975887</v>
      </c>
      <c r="E17" s="604">
        <f t="shared" si="2"/>
        <v>7622.868746975887</v>
      </c>
      <c r="F17" s="604">
        <f t="shared" si="3"/>
        <v>7622.868746975887</v>
      </c>
      <c r="G17" s="604">
        <f t="shared" si="4"/>
        <v>7622.868746975887</v>
      </c>
      <c r="H17" s="604">
        <f t="shared" si="5"/>
        <v>7622.868746975887</v>
      </c>
      <c r="I17" s="604">
        <f t="shared" si="6"/>
        <v>7622.868746975887</v>
      </c>
      <c r="J17" s="604">
        <f t="shared" si="7"/>
        <v>7622.868746975887</v>
      </c>
      <c r="K17" s="604">
        <f t="shared" si="8"/>
        <v>7622.868746975887</v>
      </c>
      <c r="L17" s="604">
        <f t="shared" si="9"/>
        <v>7622.868746975887</v>
      </c>
      <c r="M17" s="604">
        <f t="shared" si="10"/>
        <v>7622.868746975887</v>
      </c>
      <c r="N17" s="604">
        <f t="shared" si="11"/>
        <v>7622.868746975887</v>
      </c>
      <c r="O17" s="605">
        <f t="shared" si="12"/>
        <v>91474.42496371064</v>
      </c>
      <c r="P17" s="606"/>
    </row>
    <row r="18" spans="1:16" x14ac:dyDescent="0.25">
      <c r="A18" s="602" t="s">
        <v>157</v>
      </c>
      <c r="B18" s="603">
        <v>3.0792318274418586</v>
      </c>
      <c r="C18" s="604">
        <f t="shared" si="0"/>
        <v>6153.5118652012115</v>
      </c>
      <c r="D18" s="604">
        <f t="shared" si="1"/>
        <v>6153.5118652012115</v>
      </c>
      <c r="E18" s="604">
        <f t="shared" si="2"/>
        <v>6153.5118652012115</v>
      </c>
      <c r="F18" s="604">
        <f t="shared" si="3"/>
        <v>6153.5118652012115</v>
      </c>
      <c r="G18" s="604">
        <f t="shared" si="4"/>
        <v>6153.5118652012115</v>
      </c>
      <c r="H18" s="604">
        <f t="shared" si="5"/>
        <v>6153.5118652012115</v>
      </c>
      <c r="I18" s="604">
        <f t="shared" si="6"/>
        <v>6153.5118652012115</v>
      </c>
      <c r="J18" s="604">
        <f t="shared" si="7"/>
        <v>6153.5118652012115</v>
      </c>
      <c r="K18" s="604">
        <f t="shared" si="8"/>
        <v>6153.5118652012115</v>
      </c>
      <c r="L18" s="604">
        <f t="shared" si="9"/>
        <v>6153.5118652012115</v>
      </c>
      <c r="M18" s="604">
        <f t="shared" si="10"/>
        <v>6153.5118652012115</v>
      </c>
      <c r="N18" s="604">
        <f t="shared" si="11"/>
        <v>6153.5118652012115</v>
      </c>
      <c r="O18" s="605">
        <f t="shared" si="12"/>
        <v>73842.142382414531</v>
      </c>
      <c r="P18" s="606"/>
    </row>
    <row r="19" spans="1:16" x14ac:dyDescent="0.25">
      <c r="A19" s="602" t="s">
        <v>158</v>
      </c>
      <c r="B19" s="603">
        <v>3.9687689066587866</v>
      </c>
      <c r="C19" s="604">
        <f t="shared" si="0"/>
        <v>7931.1555368195513</v>
      </c>
      <c r="D19" s="604">
        <f t="shared" si="1"/>
        <v>7931.1555368195513</v>
      </c>
      <c r="E19" s="604">
        <f t="shared" si="2"/>
        <v>7931.1555368195513</v>
      </c>
      <c r="F19" s="604">
        <f t="shared" si="3"/>
        <v>7931.1555368195513</v>
      </c>
      <c r="G19" s="604">
        <f t="shared" si="4"/>
        <v>7931.1555368195513</v>
      </c>
      <c r="H19" s="604">
        <f t="shared" si="5"/>
        <v>7931.1555368195513</v>
      </c>
      <c r="I19" s="604">
        <f t="shared" si="6"/>
        <v>7931.1555368195513</v>
      </c>
      <c r="J19" s="604">
        <f t="shared" si="7"/>
        <v>7931.1555368195513</v>
      </c>
      <c r="K19" s="604">
        <f t="shared" si="8"/>
        <v>7931.1555368195513</v>
      </c>
      <c r="L19" s="604">
        <f t="shared" si="9"/>
        <v>7931.1555368195513</v>
      </c>
      <c r="M19" s="604">
        <f t="shared" si="10"/>
        <v>7931.1555368195513</v>
      </c>
      <c r="N19" s="604">
        <f t="shared" si="11"/>
        <v>7931.1555368195513</v>
      </c>
      <c r="O19" s="605">
        <f t="shared" si="12"/>
        <v>95173.866441834645</v>
      </c>
      <c r="P19" s="606"/>
    </row>
    <row r="20" spans="1:16" x14ac:dyDescent="0.25">
      <c r="A20" s="602" t="s">
        <v>285</v>
      </c>
      <c r="B20" s="603">
        <v>2.5568285677800717</v>
      </c>
      <c r="C20" s="604">
        <f t="shared" si="0"/>
        <v>5109.5454356195814</v>
      </c>
      <c r="D20" s="604">
        <f t="shared" si="1"/>
        <v>5109.5454356195814</v>
      </c>
      <c r="E20" s="604">
        <f t="shared" si="2"/>
        <v>5109.5454356195814</v>
      </c>
      <c r="F20" s="604">
        <f t="shared" si="3"/>
        <v>5109.5454356195814</v>
      </c>
      <c r="G20" s="604">
        <f t="shared" si="4"/>
        <v>5109.5454356195814</v>
      </c>
      <c r="H20" s="604">
        <f t="shared" si="5"/>
        <v>5109.5454356195814</v>
      </c>
      <c r="I20" s="604">
        <f t="shared" si="6"/>
        <v>5109.5454356195814</v>
      </c>
      <c r="J20" s="604">
        <f t="shared" si="7"/>
        <v>5109.5454356195814</v>
      </c>
      <c r="K20" s="604">
        <f t="shared" si="8"/>
        <v>5109.5454356195814</v>
      </c>
      <c r="L20" s="604">
        <f t="shared" si="9"/>
        <v>5109.5454356195814</v>
      </c>
      <c r="M20" s="604">
        <f t="shared" si="10"/>
        <v>5109.5454356195814</v>
      </c>
      <c r="N20" s="604">
        <f t="shared" si="11"/>
        <v>5109.5454356195814</v>
      </c>
      <c r="O20" s="605">
        <f t="shared" si="12"/>
        <v>61314.545227434988</v>
      </c>
      <c r="P20" s="606"/>
    </row>
    <row r="21" spans="1:16" x14ac:dyDescent="0.25">
      <c r="A21" s="602" t="s">
        <v>286</v>
      </c>
      <c r="B21" s="603">
        <v>3.0448340829893383</v>
      </c>
      <c r="C21" s="604">
        <f t="shared" si="0"/>
        <v>6084.7716921689689</v>
      </c>
      <c r="D21" s="604">
        <f t="shared" si="1"/>
        <v>6084.7716921689689</v>
      </c>
      <c r="E21" s="604">
        <f t="shared" si="2"/>
        <v>6084.7716921689689</v>
      </c>
      <c r="F21" s="604">
        <f t="shared" si="3"/>
        <v>6084.7716921689689</v>
      </c>
      <c r="G21" s="604">
        <f t="shared" si="4"/>
        <v>6084.7716921689689</v>
      </c>
      <c r="H21" s="604">
        <f t="shared" si="5"/>
        <v>6084.7716921689689</v>
      </c>
      <c r="I21" s="604">
        <f t="shared" si="6"/>
        <v>6084.7716921689689</v>
      </c>
      <c r="J21" s="604">
        <f t="shared" si="7"/>
        <v>6084.7716921689689</v>
      </c>
      <c r="K21" s="604">
        <f t="shared" si="8"/>
        <v>6084.7716921689689</v>
      </c>
      <c r="L21" s="604">
        <f t="shared" si="9"/>
        <v>6084.7716921689689</v>
      </c>
      <c r="M21" s="604">
        <f t="shared" si="10"/>
        <v>6084.7716921689689</v>
      </c>
      <c r="N21" s="604">
        <f t="shared" si="11"/>
        <v>6084.7716921689689</v>
      </c>
      <c r="O21" s="605">
        <f t="shared" si="12"/>
        <v>73017.260306027645</v>
      </c>
      <c r="P21" s="606"/>
    </row>
    <row r="22" spans="1:16" x14ac:dyDescent="0.25">
      <c r="A22" s="602" t="s">
        <v>287</v>
      </c>
      <c r="B22" s="603">
        <v>6.4580166897572191</v>
      </c>
      <c r="C22" s="604">
        <f t="shared" si="0"/>
        <v>12905.648081425221</v>
      </c>
      <c r="D22" s="604">
        <f t="shared" si="1"/>
        <v>12905.648081425221</v>
      </c>
      <c r="E22" s="604">
        <f t="shared" si="2"/>
        <v>12905.648081425221</v>
      </c>
      <c r="F22" s="604">
        <f t="shared" si="3"/>
        <v>12905.648081425221</v>
      </c>
      <c r="G22" s="604">
        <f t="shared" si="4"/>
        <v>12905.648081425221</v>
      </c>
      <c r="H22" s="604">
        <f t="shared" si="5"/>
        <v>12905.648081425221</v>
      </c>
      <c r="I22" s="604">
        <f t="shared" si="6"/>
        <v>12905.648081425221</v>
      </c>
      <c r="J22" s="604">
        <f t="shared" si="7"/>
        <v>12905.648081425221</v>
      </c>
      <c r="K22" s="604">
        <f t="shared" si="8"/>
        <v>12905.648081425221</v>
      </c>
      <c r="L22" s="604">
        <f t="shared" si="9"/>
        <v>12905.648081425221</v>
      </c>
      <c r="M22" s="604">
        <f t="shared" si="10"/>
        <v>12905.648081425221</v>
      </c>
      <c r="N22" s="604">
        <f t="shared" si="11"/>
        <v>12905.648081425221</v>
      </c>
      <c r="O22" s="605">
        <f t="shared" si="12"/>
        <v>154867.77697710268</v>
      </c>
      <c r="P22" s="606"/>
    </row>
    <row r="23" spans="1:16" x14ac:dyDescent="0.25">
      <c r="A23" s="602" t="s">
        <v>162</v>
      </c>
      <c r="B23" s="603">
        <v>3.6739352083662298</v>
      </c>
      <c r="C23" s="604">
        <f t="shared" si="0"/>
        <v>7341.962269675505</v>
      </c>
      <c r="D23" s="604">
        <f t="shared" si="1"/>
        <v>7341.962269675505</v>
      </c>
      <c r="E23" s="604">
        <f t="shared" si="2"/>
        <v>7341.962269675505</v>
      </c>
      <c r="F23" s="604">
        <f t="shared" si="3"/>
        <v>7341.962269675505</v>
      </c>
      <c r="G23" s="604">
        <f t="shared" si="4"/>
        <v>7341.962269675505</v>
      </c>
      <c r="H23" s="604">
        <f t="shared" si="5"/>
        <v>7341.962269675505</v>
      </c>
      <c r="I23" s="604">
        <f t="shared" si="6"/>
        <v>7341.962269675505</v>
      </c>
      <c r="J23" s="604">
        <f t="shared" si="7"/>
        <v>7341.962269675505</v>
      </c>
      <c r="K23" s="604">
        <f t="shared" si="8"/>
        <v>7341.962269675505</v>
      </c>
      <c r="L23" s="604">
        <f t="shared" si="9"/>
        <v>7341.962269675505</v>
      </c>
      <c r="M23" s="604">
        <f t="shared" si="10"/>
        <v>7341.962269675505</v>
      </c>
      <c r="N23" s="604">
        <f t="shared" si="11"/>
        <v>7341.962269675505</v>
      </c>
      <c r="O23" s="605">
        <f t="shared" si="12"/>
        <v>88103.547236106067</v>
      </c>
      <c r="P23" s="606"/>
    </row>
    <row r="24" spans="1:16" x14ac:dyDescent="0.25">
      <c r="A24" s="602" t="s">
        <v>163</v>
      </c>
      <c r="B24" s="603">
        <v>21.979340072457017</v>
      </c>
      <c r="C24" s="604">
        <f t="shared" si="0"/>
        <v>43923.33461866001</v>
      </c>
      <c r="D24" s="604">
        <f t="shared" si="1"/>
        <v>43923.33461866001</v>
      </c>
      <c r="E24" s="604">
        <f t="shared" si="2"/>
        <v>43923.33461866001</v>
      </c>
      <c r="F24" s="604">
        <f t="shared" si="3"/>
        <v>43923.33461866001</v>
      </c>
      <c r="G24" s="604">
        <f t="shared" si="4"/>
        <v>43923.33461866001</v>
      </c>
      <c r="H24" s="604">
        <f t="shared" si="5"/>
        <v>43923.33461866001</v>
      </c>
      <c r="I24" s="604">
        <f t="shared" si="6"/>
        <v>43923.33461866001</v>
      </c>
      <c r="J24" s="604">
        <f t="shared" si="7"/>
        <v>43923.33461866001</v>
      </c>
      <c r="K24" s="604">
        <f t="shared" si="8"/>
        <v>43923.33461866001</v>
      </c>
      <c r="L24" s="604">
        <f t="shared" si="9"/>
        <v>43923.33461866001</v>
      </c>
      <c r="M24" s="604">
        <f t="shared" si="10"/>
        <v>43923.33461866001</v>
      </c>
      <c r="N24" s="604">
        <f t="shared" si="11"/>
        <v>43923.33461866001</v>
      </c>
      <c r="O24" s="605">
        <f t="shared" si="12"/>
        <v>527080.01542392024</v>
      </c>
      <c r="P24" s="606"/>
    </row>
    <row r="25" spans="1:16" x14ac:dyDescent="0.25">
      <c r="A25" s="602" t="s">
        <v>164</v>
      </c>
      <c r="B25" s="603">
        <v>3.7144952969630278</v>
      </c>
      <c r="C25" s="604">
        <f t="shared" si="0"/>
        <v>7423.0172211766258</v>
      </c>
      <c r="D25" s="604">
        <f t="shared" si="1"/>
        <v>7423.0172211766258</v>
      </c>
      <c r="E25" s="604">
        <f t="shared" si="2"/>
        <v>7423.0172211766258</v>
      </c>
      <c r="F25" s="604">
        <f t="shared" si="3"/>
        <v>7423.0172211766258</v>
      </c>
      <c r="G25" s="604">
        <f t="shared" si="4"/>
        <v>7423.0172211766258</v>
      </c>
      <c r="H25" s="604">
        <f t="shared" si="5"/>
        <v>7423.0172211766258</v>
      </c>
      <c r="I25" s="604">
        <f t="shared" si="6"/>
        <v>7423.0172211766258</v>
      </c>
      <c r="J25" s="604">
        <f t="shared" si="7"/>
        <v>7423.0172211766258</v>
      </c>
      <c r="K25" s="604">
        <f t="shared" si="8"/>
        <v>7423.0172211766258</v>
      </c>
      <c r="L25" s="604">
        <f t="shared" si="9"/>
        <v>7423.0172211766258</v>
      </c>
      <c r="M25" s="604">
        <f t="shared" si="10"/>
        <v>7423.0172211766258</v>
      </c>
      <c r="N25" s="604">
        <f t="shared" si="11"/>
        <v>7423.0172211766258</v>
      </c>
      <c r="O25" s="605">
        <f t="shared" si="12"/>
        <v>89076.20665411948</v>
      </c>
      <c r="P25" s="606"/>
    </row>
    <row r="26" spans="1:16" ht="15.75" thickBot="1" x14ac:dyDescent="0.3">
      <c r="A26" s="602" t="s">
        <v>165</v>
      </c>
      <c r="B26" s="603">
        <v>5.0303764450364916</v>
      </c>
      <c r="C26" s="604">
        <f t="shared" si="0"/>
        <v>10052.663415952307</v>
      </c>
      <c r="D26" s="604">
        <f t="shared" si="1"/>
        <v>10052.663415952307</v>
      </c>
      <c r="E26" s="604">
        <f t="shared" si="2"/>
        <v>10052.663415952307</v>
      </c>
      <c r="F26" s="604">
        <f t="shared" si="3"/>
        <v>10052.663415952307</v>
      </c>
      <c r="G26" s="604">
        <f t="shared" si="4"/>
        <v>10052.663415952307</v>
      </c>
      <c r="H26" s="604">
        <f t="shared" si="5"/>
        <v>10052.663415952307</v>
      </c>
      <c r="I26" s="604">
        <f t="shared" si="6"/>
        <v>10052.663415952307</v>
      </c>
      <c r="J26" s="604">
        <f t="shared" si="7"/>
        <v>10052.663415952307</v>
      </c>
      <c r="K26" s="604">
        <f t="shared" si="8"/>
        <v>10052.663415952307</v>
      </c>
      <c r="L26" s="604">
        <f t="shared" si="9"/>
        <v>10052.663415952307</v>
      </c>
      <c r="M26" s="604">
        <f t="shared" si="10"/>
        <v>10052.663415952307</v>
      </c>
      <c r="N26" s="604">
        <f t="shared" si="11"/>
        <v>10052.663415952307</v>
      </c>
      <c r="O26" s="605">
        <f t="shared" si="12"/>
        <v>120631.9609914277</v>
      </c>
      <c r="P26" s="606"/>
    </row>
    <row r="27" spans="1:16" ht="15.75" thickBot="1" x14ac:dyDescent="0.3">
      <c r="A27" s="607" t="s">
        <v>288</v>
      </c>
      <c r="B27" s="608">
        <f>SUM(B7:B26)</f>
        <v>100</v>
      </c>
      <c r="C27" s="609">
        <f>SUM(C7:C26)</f>
        <v>199839.18749999997</v>
      </c>
      <c r="D27" s="609">
        <f t="shared" ref="D27:N27" si="13">SUM(D7:D26)</f>
        <v>199839.18749999997</v>
      </c>
      <c r="E27" s="609">
        <f t="shared" si="13"/>
        <v>199839.18749999997</v>
      </c>
      <c r="F27" s="609">
        <f t="shared" si="13"/>
        <v>199839.18749999997</v>
      </c>
      <c r="G27" s="609">
        <f t="shared" si="13"/>
        <v>199839.18749999997</v>
      </c>
      <c r="H27" s="609">
        <f t="shared" si="13"/>
        <v>199839.18749999997</v>
      </c>
      <c r="I27" s="609">
        <f t="shared" si="13"/>
        <v>199839.18749999997</v>
      </c>
      <c r="J27" s="609">
        <f t="shared" si="13"/>
        <v>199839.18749999997</v>
      </c>
      <c r="K27" s="609">
        <f t="shared" si="13"/>
        <v>199839.18749999997</v>
      </c>
      <c r="L27" s="609">
        <f t="shared" si="13"/>
        <v>199839.18749999997</v>
      </c>
      <c r="M27" s="609">
        <f t="shared" si="13"/>
        <v>199839.18749999997</v>
      </c>
      <c r="N27" s="609">
        <f t="shared" si="13"/>
        <v>199839.18749999997</v>
      </c>
      <c r="O27" s="609">
        <f>SUM(C27:N27)</f>
        <v>2398070.2499999995</v>
      </c>
      <c r="P27" s="597"/>
    </row>
    <row r="28" spans="1:16" x14ac:dyDescent="0.25">
      <c r="A28" s="610"/>
      <c r="B28" s="610"/>
      <c r="C28" s="610"/>
      <c r="D28" s="610"/>
      <c r="E28" s="610"/>
      <c r="F28" s="610"/>
      <c r="G28" s="610"/>
      <c r="H28" s="610"/>
      <c r="I28" s="610"/>
      <c r="J28" s="610"/>
      <c r="K28" s="610"/>
      <c r="L28" s="610"/>
      <c r="M28" s="610"/>
      <c r="N28" s="610"/>
      <c r="O28" s="610"/>
      <c r="P28" s="597"/>
    </row>
    <row r="29" spans="1:16" x14ac:dyDescent="0.25">
      <c r="A29" s="611" t="s">
        <v>289</v>
      </c>
      <c r="B29" s="597"/>
      <c r="C29" s="597"/>
      <c r="D29" s="597"/>
      <c r="E29" s="597"/>
      <c r="F29" s="597"/>
      <c r="G29" s="597"/>
      <c r="H29" s="597"/>
      <c r="I29" s="597"/>
      <c r="J29" s="597"/>
      <c r="K29" s="597"/>
      <c r="L29" s="597"/>
      <c r="M29" s="597"/>
      <c r="N29" s="597"/>
      <c r="O29" s="606"/>
      <c r="P29" s="597"/>
    </row>
    <row r="30" spans="1:16" hidden="1" x14ac:dyDescent="0.25">
      <c r="A30" s="597"/>
      <c r="B30" s="597"/>
      <c r="C30" s="597"/>
      <c r="D30" s="597"/>
      <c r="E30" s="597"/>
      <c r="F30" s="597"/>
      <c r="G30" s="597"/>
      <c r="H30" s="597"/>
      <c r="I30" s="597"/>
      <c r="J30" s="597"/>
      <c r="K30" s="597"/>
      <c r="L30" s="597"/>
      <c r="M30" s="597"/>
      <c r="N30" s="597"/>
      <c r="O30" s="597"/>
      <c r="P30" s="597"/>
    </row>
    <row r="31" spans="1:16" hidden="1" x14ac:dyDescent="0.25">
      <c r="A31" s="597"/>
      <c r="B31" s="597"/>
      <c r="C31" s="597"/>
      <c r="D31" s="597"/>
      <c r="E31" s="597"/>
      <c r="F31" s="597"/>
      <c r="G31" s="597"/>
      <c r="H31" s="597"/>
      <c r="I31" s="597"/>
      <c r="J31" s="597"/>
      <c r="K31" s="597"/>
      <c r="L31" s="597"/>
      <c r="M31" s="597"/>
      <c r="N31" s="597"/>
      <c r="O31" s="597"/>
      <c r="P31" s="597"/>
    </row>
    <row r="32" spans="1:16" hidden="1" x14ac:dyDescent="0.25">
      <c r="A32" s="597"/>
      <c r="B32" s="597"/>
      <c r="C32" s="606">
        <v>199839.18749999997</v>
      </c>
      <c r="D32" s="606">
        <v>199839.18749999997</v>
      </c>
      <c r="E32" s="606">
        <v>199839.18749999997</v>
      </c>
      <c r="F32" s="606">
        <v>199839.18749999997</v>
      </c>
      <c r="G32" s="606">
        <v>199839.18749999997</v>
      </c>
      <c r="H32" s="606">
        <v>199839.18749999997</v>
      </c>
      <c r="I32" s="606">
        <v>199839.18749999997</v>
      </c>
      <c r="J32" s="606">
        <v>199839.18749999997</v>
      </c>
      <c r="K32" s="606">
        <v>199839.18749999997</v>
      </c>
      <c r="L32" s="606">
        <v>199839.18749999997</v>
      </c>
      <c r="M32" s="606">
        <v>199839.18749999997</v>
      </c>
      <c r="N32" s="606">
        <v>199839.18749999997</v>
      </c>
      <c r="O32" s="606">
        <f>SUM(C32:N32)</f>
        <v>2398070.2499999995</v>
      </c>
      <c r="P32" s="597"/>
    </row>
    <row r="33" spans="15:15" hidden="1" x14ac:dyDescent="0.25">
      <c r="O33" s="597"/>
    </row>
    <row r="34" spans="15:15" hidden="1" x14ac:dyDescent="0.25">
      <c r="O34" s="606">
        <f>O32-O27</f>
        <v>0</v>
      </c>
    </row>
    <row r="35" spans="15:15" hidden="1" x14ac:dyDescent="0.25">
      <c r="O35" s="597"/>
    </row>
    <row r="36" spans="15:15" x14ac:dyDescent="0.25">
      <c r="O36" s="59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O31"/>
  <sheetViews>
    <sheetView workbookViewId="0">
      <selection activeCell="I40" sqref="I40"/>
    </sheetView>
  </sheetViews>
  <sheetFormatPr baseColWidth="10" defaultRowHeight="12.75" x14ac:dyDescent="0.2"/>
  <cols>
    <col min="1" max="1" width="16.5703125" style="597" customWidth="1"/>
    <col min="2" max="2" width="9.28515625" style="597" bestFit="1" customWidth="1"/>
    <col min="3" max="14" width="9.7109375" style="597" customWidth="1"/>
    <col min="15" max="15" width="10.85546875"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347</v>
      </c>
      <c r="B4" s="1255"/>
      <c r="C4" s="1255"/>
      <c r="D4" s="1255"/>
      <c r="E4" s="1255"/>
      <c r="F4" s="1255"/>
      <c r="G4" s="1255"/>
      <c r="H4" s="1255"/>
      <c r="I4" s="1255"/>
      <c r="J4" s="1255"/>
      <c r="K4" s="1255"/>
      <c r="L4" s="1255"/>
      <c r="M4" s="1255"/>
      <c r="N4" s="1255"/>
      <c r="O4" s="1255"/>
    </row>
    <row r="5" spans="1:15" ht="13.5" thickBot="1" x14ac:dyDescent="0.25"/>
    <row r="6" spans="1:15" ht="34.5" thickBot="1" x14ac:dyDescent="0.25">
      <c r="A6" s="598" t="s">
        <v>341</v>
      </c>
      <c r="B6" s="600" t="s">
        <v>423</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28">
        <f>FOCO!J8</f>
        <v>3.1012197296055257</v>
      </c>
      <c r="C7" s="629">
        <f>$C$27*B7/100</f>
        <v>16136.317837145603</v>
      </c>
      <c r="D7" s="630">
        <f>$D$27*B7/100</f>
        <v>40194.129610885058</v>
      </c>
      <c r="E7" s="629">
        <f>$E$27*B7/100</f>
        <v>4451.6675473509649</v>
      </c>
      <c r="F7" s="630">
        <f>$F$27*B7/100</f>
        <v>36180.122569453095</v>
      </c>
      <c r="G7" s="629">
        <f>$G$27*B7/100</f>
        <v>19997.457902059872</v>
      </c>
      <c r="H7" s="629">
        <f>$H$27*B7/100</f>
        <v>36024.917601060733</v>
      </c>
      <c r="I7" s="631">
        <f>$I$27*B7/100</f>
        <v>17212.840155861697</v>
      </c>
      <c r="J7" s="630">
        <f>$J$27*B7/100</f>
        <v>28711.669322162419</v>
      </c>
      <c r="K7" s="629">
        <f>$K$27*B7/100</f>
        <v>36506.782736354799</v>
      </c>
      <c r="L7" s="630">
        <f>$L$27*B7/100</f>
        <v>14434.80356299483</v>
      </c>
      <c r="M7" s="629">
        <f>$M$27*B7/100</f>
        <v>32543.407468129943</v>
      </c>
      <c r="N7" s="629">
        <f>$N$27*B7/100</f>
        <v>77470.707364245522</v>
      </c>
      <c r="O7" s="632">
        <f>SUM(C7:N7)</f>
        <v>359864.82367770455</v>
      </c>
    </row>
    <row r="8" spans="1:15" x14ac:dyDescent="0.2">
      <c r="A8" s="602" t="s">
        <v>147</v>
      </c>
      <c r="B8" s="633">
        <f>FOCO!J9</f>
        <v>3.2708002668738683</v>
      </c>
      <c r="C8" s="629">
        <f t="shared" ref="C8:C26" si="0">$C$27*B8/100</f>
        <v>17018.682096031564</v>
      </c>
      <c r="D8" s="630">
        <f t="shared" ref="D8:D26" si="1">$D$27*B8/100</f>
        <v>42392.020340580071</v>
      </c>
      <c r="E8" s="629">
        <f t="shared" ref="E8:E26" si="2">$E$27*B8/100</f>
        <v>4695.0931154308664</v>
      </c>
      <c r="F8" s="630">
        <f t="shared" ref="F8:F26" si="3">$F$27*B8/100</f>
        <v>38158.519832049758</v>
      </c>
      <c r="G8" s="629">
        <f t="shared" ref="G8:G26" si="4">$G$27*B8/100</f>
        <v>21090.956573778865</v>
      </c>
      <c r="H8" s="629">
        <f t="shared" ref="H8:H26" si="5">$H$27*B8/100</f>
        <v>37994.827963591779</v>
      </c>
      <c r="I8" s="629">
        <f t="shared" ref="I8:I26" si="6">$I$27*B8/100</f>
        <v>18154.07068321824</v>
      </c>
      <c r="J8" s="630">
        <f t="shared" ref="J8:J26" si="7">$J$27*B8/100</f>
        <v>30281.677491220027</v>
      </c>
      <c r="K8" s="629">
        <f t="shared" ref="K8:K26" si="8">$K$27*B8/100</f>
        <v>38503.042392279647</v>
      </c>
      <c r="L8" s="630">
        <f t="shared" ref="L8:L26" si="9">$L$27*B8/100</f>
        <v>15224.125815851456</v>
      </c>
      <c r="M8" s="629">
        <f t="shared" ref="M8:M26" si="10">$M$27*B8/100</f>
        <v>34322.942297701673</v>
      </c>
      <c r="N8" s="629">
        <f t="shared" ref="N8:N26" si="11">$N$27*B8/100</f>
        <v>81706.9515916284</v>
      </c>
      <c r="O8" s="632">
        <f t="shared" ref="O8:O26" si="12">SUM(C8:N8)</f>
        <v>379542.91019336239</v>
      </c>
    </row>
    <row r="9" spans="1:15" x14ac:dyDescent="0.2">
      <c r="A9" s="602" t="s">
        <v>148</v>
      </c>
      <c r="B9" s="633">
        <f>FOCO!J10</f>
        <v>3.8542395726001253</v>
      </c>
      <c r="C9" s="629">
        <f t="shared" si="0"/>
        <v>20054.443150305513</v>
      </c>
      <c r="D9" s="630">
        <f t="shared" si="1"/>
        <v>49953.830569818143</v>
      </c>
      <c r="E9" s="629">
        <f t="shared" si="2"/>
        <v>5532.5951467625609</v>
      </c>
      <c r="F9" s="630">
        <f t="shared" si="3"/>
        <v>44965.166065948717</v>
      </c>
      <c r="G9" s="629">
        <f t="shared" si="4"/>
        <v>24853.122422037526</v>
      </c>
      <c r="H9" s="629">
        <f t="shared" si="5"/>
        <v>44772.275144569838</v>
      </c>
      <c r="I9" s="629">
        <f t="shared" si="6"/>
        <v>21392.360254976644</v>
      </c>
      <c r="J9" s="630">
        <f t="shared" si="7"/>
        <v>35683.267148233812</v>
      </c>
      <c r="K9" s="629">
        <f t="shared" si="8"/>
        <v>45371.143923643067</v>
      </c>
      <c r="L9" s="630">
        <f t="shared" si="9"/>
        <v>17939.777237996852</v>
      </c>
      <c r="M9" s="629">
        <f t="shared" si="10"/>
        <v>40445.405300859333</v>
      </c>
      <c r="N9" s="629">
        <f t="shared" si="11"/>
        <v>96281.686586129028</v>
      </c>
      <c r="O9" s="632">
        <f t="shared" si="12"/>
        <v>447245.07295128098</v>
      </c>
    </row>
    <row r="10" spans="1:15" x14ac:dyDescent="0.2">
      <c r="A10" s="602" t="s">
        <v>283</v>
      </c>
      <c r="B10" s="633">
        <f>FOCO!J11</f>
        <v>10.827867411712226</v>
      </c>
      <c r="C10" s="629">
        <f t="shared" si="0"/>
        <v>56339.738969764709</v>
      </c>
      <c r="D10" s="630">
        <f t="shared" si="1"/>
        <v>140337.26859179989</v>
      </c>
      <c r="E10" s="629">
        <f t="shared" si="2"/>
        <v>15542.937994229032</v>
      </c>
      <c r="F10" s="630">
        <f t="shared" si="3"/>
        <v>126322.41642915324</v>
      </c>
      <c r="G10" s="629">
        <f t="shared" si="4"/>
        <v>69820.858118410004</v>
      </c>
      <c r="H10" s="629">
        <f t="shared" si="5"/>
        <v>125780.52034763784</v>
      </c>
      <c r="I10" s="629">
        <f t="shared" si="6"/>
        <v>60098.402318101376</v>
      </c>
      <c r="J10" s="630">
        <f t="shared" si="7"/>
        <v>100246.4113140557</v>
      </c>
      <c r="K10" s="629">
        <f t="shared" si="8"/>
        <v>127462.94605436276</v>
      </c>
      <c r="L10" s="630">
        <f t="shared" si="9"/>
        <v>50398.924527060306</v>
      </c>
      <c r="M10" s="629">
        <f t="shared" si="10"/>
        <v>113624.87405400924</v>
      </c>
      <c r="N10" s="629">
        <f t="shared" si="11"/>
        <v>270487.94370281819</v>
      </c>
      <c r="O10" s="632">
        <f t="shared" si="12"/>
        <v>1256463.2424214024</v>
      </c>
    </row>
    <row r="11" spans="1:15" x14ac:dyDescent="0.2">
      <c r="A11" s="602" t="s">
        <v>150</v>
      </c>
      <c r="B11" s="633">
        <f>FOCO!J12</f>
        <v>4.8642760218984451</v>
      </c>
      <c r="C11" s="629">
        <f t="shared" si="0"/>
        <v>25309.881524242606</v>
      </c>
      <c r="D11" s="630">
        <f t="shared" si="1"/>
        <v>63044.659177431444</v>
      </c>
      <c r="E11" s="629">
        <f t="shared" si="2"/>
        <v>6982.4590309817104</v>
      </c>
      <c r="F11" s="630">
        <f t="shared" si="3"/>
        <v>56748.672467114528</v>
      </c>
      <c r="G11" s="629">
        <f t="shared" si="4"/>
        <v>31366.095747200259</v>
      </c>
      <c r="H11" s="629">
        <f t="shared" si="5"/>
        <v>56505.232829792702</v>
      </c>
      <c r="I11" s="629">
        <f t="shared" si="6"/>
        <v>26998.411250781937</v>
      </c>
      <c r="J11" s="630">
        <f t="shared" si="7"/>
        <v>45034.372540328426</v>
      </c>
      <c r="K11" s="629">
        <f t="shared" si="8"/>
        <v>57261.040295166298</v>
      </c>
      <c r="L11" s="630">
        <f t="shared" si="9"/>
        <v>22641.049320688187</v>
      </c>
      <c r="M11" s="629">
        <f t="shared" si="10"/>
        <v>51044.469731343735</v>
      </c>
      <c r="N11" s="629">
        <f t="shared" si="11"/>
        <v>121513.12615289746</v>
      </c>
      <c r="O11" s="632">
        <f t="shared" si="12"/>
        <v>564449.47006796929</v>
      </c>
    </row>
    <row r="12" spans="1:15" x14ac:dyDescent="0.2">
      <c r="A12" s="602" t="s">
        <v>284</v>
      </c>
      <c r="B12" s="633">
        <f>FOCO!J13</f>
        <v>3.4706419063749485</v>
      </c>
      <c r="C12" s="629">
        <f t="shared" si="0"/>
        <v>18058.501423021298</v>
      </c>
      <c r="D12" s="630">
        <f t="shared" si="1"/>
        <v>44982.117612010734</v>
      </c>
      <c r="E12" s="629">
        <f t="shared" si="2"/>
        <v>4981.9571943233123</v>
      </c>
      <c r="F12" s="630">
        <f t="shared" si="3"/>
        <v>40489.955732126808</v>
      </c>
      <c r="G12" s="629">
        <f t="shared" si="4"/>
        <v>22379.586571470067</v>
      </c>
      <c r="H12" s="629">
        <f t="shared" si="5"/>
        <v>40316.26250354392</v>
      </c>
      <c r="I12" s="629">
        <f t="shared" si="6"/>
        <v>19263.260775225997</v>
      </c>
      <c r="J12" s="630">
        <f t="shared" si="7"/>
        <v>32131.848575641587</v>
      </c>
      <c r="K12" s="629">
        <f t="shared" si="8"/>
        <v>40855.528172405546</v>
      </c>
      <c r="L12" s="630">
        <f t="shared" si="9"/>
        <v>16154.300089659475</v>
      </c>
      <c r="M12" s="629">
        <f t="shared" si="10"/>
        <v>36420.029402268119</v>
      </c>
      <c r="N12" s="629">
        <f t="shared" si="11"/>
        <v>86699.139995817517</v>
      </c>
      <c r="O12" s="632">
        <f t="shared" si="12"/>
        <v>402732.48804751434</v>
      </c>
    </row>
    <row r="13" spans="1:15" x14ac:dyDescent="0.2">
      <c r="A13" s="602" t="s">
        <v>152</v>
      </c>
      <c r="B13" s="633">
        <f>FOCO!J14</f>
        <v>3.7119397222843022</v>
      </c>
      <c r="C13" s="629">
        <f t="shared" si="0"/>
        <v>19314.02621339713</v>
      </c>
      <c r="D13" s="630">
        <f t="shared" si="1"/>
        <v>48109.517968359469</v>
      </c>
      <c r="E13" s="629">
        <f t="shared" si="2"/>
        <v>5328.3298315394995</v>
      </c>
      <c r="F13" s="630">
        <f t="shared" si="3"/>
        <v>43305.036673344803</v>
      </c>
      <c r="G13" s="629">
        <f t="shared" si="4"/>
        <v>23935.536596372069</v>
      </c>
      <c r="H13" s="629">
        <f t="shared" si="5"/>
        <v>43119.267351109527</v>
      </c>
      <c r="I13" s="629">
        <f t="shared" si="6"/>
        <v>20602.546958515748</v>
      </c>
      <c r="J13" s="630">
        <f t="shared" si="7"/>
        <v>34365.828655289362</v>
      </c>
      <c r="K13" s="629">
        <f t="shared" si="8"/>
        <v>43696.025688935995</v>
      </c>
      <c r="L13" s="630">
        <f t="shared" si="9"/>
        <v>17277.434493707089</v>
      </c>
      <c r="M13" s="629">
        <f t="shared" si="10"/>
        <v>38952.147029840016</v>
      </c>
      <c r="N13" s="629">
        <f t="shared" si="11"/>
        <v>92726.933610532767</v>
      </c>
      <c r="O13" s="632">
        <f t="shared" si="12"/>
        <v>430732.63107094349</v>
      </c>
    </row>
    <row r="14" spans="1:15" x14ac:dyDescent="0.2">
      <c r="A14" s="602" t="s">
        <v>153</v>
      </c>
      <c r="B14" s="633">
        <f>FOCO!J15</f>
        <v>2.9202501067459696</v>
      </c>
      <c r="C14" s="629">
        <f t="shared" si="0"/>
        <v>15194.693699567446</v>
      </c>
      <c r="D14" s="630">
        <f t="shared" si="1"/>
        <v>37848.627804802061</v>
      </c>
      <c r="E14" s="629">
        <f t="shared" si="2"/>
        <v>4191.893436716533</v>
      </c>
      <c r="F14" s="630">
        <f t="shared" si="3"/>
        <v>34068.855485118096</v>
      </c>
      <c r="G14" s="629">
        <f t="shared" si="4"/>
        <v>18830.519493878794</v>
      </c>
      <c r="H14" s="629">
        <f t="shared" si="5"/>
        <v>33922.707399837811</v>
      </c>
      <c r="I14" s="629">
        <f t="shared" si="6"/>
        <v>16208.3962715374</v>
      </c>
      <c r="J14" s="630">
        <f t="shared" si="7"/>
        <v>27036.218879455173</v>
      </c>
      <c r="K14" s="629">
        <f t="shared" si="8"/>
        <v>34376.453614382444</v>
      </c>
      <c r="L14" s="630">
        <f t="shared" si="9"/>
        <v>13592.470163684478</v>
      </c>
      <c r="M14" s="629">
        <f t="shared" si="10"/>
        <v>30644.358484322056</v>
      </c>
      <c r="N14" s="629">
        <f t="shared" si="11"/>
        <v>72949.955557938054</v>
      </c>
      <c r="O14" s="632">
        <f t="shared" si="12"/>
        <v>338865.15029124031</v>
      </c>
    </row>
    <row r="15" spans="1:15" x14ac:dyDescent="0.2">
      <c r="A15" s="602" t="s">
        <v>154</v>
      </c>
      <c r="B15" s="633">
        <f>FOCO!J16</f>
        <v>3.0057082759150693</v>
      </c>
      <c r="C15" s="629">
        <f t="shared" si="0"/>
        <v>15639.351060130723</v>
      </c>
      <c r="D15" s="630">
        <f t="shared" si="1"/>
        <v>38956.229660646262</v>
      </c>
      <c r="E15" s="629">
        <f t="shared" si="2"/>
        <v>4314.5649632499017</v>
      </c>
      <c r="F15" s="630">
        <f t="shared" si="3"/>
        <v>35065.846122570401</v>
      </c>
      <c r="G15" s="629">
        <f t="shared" si="4"/>
        <v>19381.575623192006</v>
      </c>
      <c r="H15" s="629">
        <f t="shared" si="5"/>
        <v>34915.421161221602</v>
      </c>
      <c r="I15" s="629">
        <f t="shared" si="6"/>
        <v>16682.718613768666</v>
      </c>
      <c r="J15" s="630">
        <f t="shared" si="7"/>
        <v>27827.40651141723</v>
      </c>
      <c r="K15" s="629">
        <f t="shared" si="8"/>
        <v>35382.445800334324</v>
      </c>
      <c r="L15" s="630">
        <f t="shared" si="9"/>
        <v>13990.240071128619</v>
      </c>
      <c r="M15" s="629">
        <f t="shared" si="10"/>
        <v>31541.134676670139</v>
      </c>
      <c r="N15" s="629">
        <f t="shared" si="11"/>
        <v>75084.762309095167</v>
      </c>
      <c r="O15" s="632">
        <f t="shared" si="12"/>
        <v>348781.69657342508</v>
      </c>
    </row>
    <row r="16" spans="1:15" x14ac:dyDescent="0.2">
      <c r="A16" s="602" t="s">
        <v>155</v>
      </c>
      <c r="B16" s="633">
        <f>FOCO!J17</f>
        <v>3.4686366380201896</v>
      </c>
      <c r="C16" s="629">
        <f t="shared" si="0"/>
        <v>18048.067577521004</v>
      </c>
      <c r="D16" s="630">
        <f t="shared" si="1"/>
        <v>44956.127832767954</v>
      </c>
      <c r="E16" s="629">
        <f t="shared" si="2"/>
        <v>4979.0787178408527</v>
      </c>
      <c r="F16" s="630">
        <f t="shared" si="3"/>
        <v>40466.561435306357</v>
      </c>
      <c r="G16" s="629">
        <f t="shared" si="4"/>
        <v>22366.656088304422</v>
      </c>
      <c r="H16" s="629">
        <f t="shared" si="5"/>
        <v>40292.968563240829</v>
      </c>
      <c r="I16" s="629">
        <f t="shared" si="6"/>
        <v>19252.130843563766</v>
      </c>
      <c r="J16" s="630">
        <f t="shared" si="7"/>
        <v>32113.283428079034</v>
      </c>
      <c r="K16" s="629">
        <f t="shared" si="8"/>
        <v>40831.922655048482</v>
      </c>
      <c r="L16" s="630">
        <f t="shared" si="9"/>
        <v>16144.966454085152</v>
      </c>
      <c r="M16" s="629">
        <f t="shared" si="10"/>
        <v>36398.986628507562</v>
      </c>
      <c r="N16" s="629">
        <f t="shared" si="11"/>
        <v>86649.046944875256</v>
      </c>
      <c r="O16" s="632">
        <f t="shared" si="12"/>
        <v>402499.79716914066</v>
      </c>
    </row>
    <row r="17" spans="1:15" x14ac:dyDescent="0.2">
      <c r="A17" s="602" t="s">
        <v>156</v>
      </c>
      <c r="B17" s="633">
        <f>FOCO!J18</f>
        <v>3.0018401196972491</v>
      </c>
      <c r="C17" s="629">
        <f t="shared" si="0"/>
        <v>15619.224205661621</v>
      </c>
      <c r="D17" s="630">
        <f t="shared" si="1"/>
        <v>38906.095459934855</v>
      </c>
      <c r="E17" s="629">
        <f t="shared" si="2"/>
        <v>4309.0123913574407</v>
      </c>
      <c r="F17" s="630">
        <f t="shared" si="3"/>
        <v>35020.718599118096</v>
      </c>
      <c r="G17" s="629">
        <f t="shared" si="4"/>
        <v>19356.632762682635</v>
      </c>
      <c r="H17" s="629">
        <f t="shared" si="5"/>
        <v>34870.487225169054</v>
      </c>
      <c r="I17" s="629">
        <f t="shared" si="6"/>
        <v>16661.249011328171</v>
      </c>
      <c r="J17" s="630">
        <f t="shared" si="7"/>
        <v>27791.594401377984</v>
      </c>
      <c r="K17" s="629">
        <f t="shared" si="8"/>
        <v>35336.910833145077</v>
      </c>
      <c r="L17" s="630">
        <f t="shared" si="9"/>
        <v>13972.235518074162</v>
      </c>
      <c r="M17" s="629">
        <f t="shared" si="10"/>
        <v>31500.5432336501</v>
      </c>
      <c r="N17" s="629">
        <f t="shared" si="11"/>
        <v>74988.132974666136</v>
      </c>
      <c r="O17" s="632">
        <f t="shared" si="12"/>
        <v>348332.83661616535</v>
      </c>
    </row>
    <row r="18" spans="1:15" x14ac:dyDescent="0.2">
      <c r="A18" s="602" t="s">
        <v>157</v>
      </c>
      <c r="B18" s="633">
        <f>FOCO!J19</f>
        <v>2.8975625351725398</v>
      </c>
      <c r="C18" s="629">
        <f t="shared" si="0"/>
        <v>15076.645351568442</v>
      </c>
      <c r="D18" s="630">
        <f t="shared" si="1"/>
        <v>37554.579890791574</v>
      </c>
      <c r="E18" s="629">
        <f t="shared" si="2"/>
        <v>4159.3264034497588</v>
      </c>
      <c r="F18" s="630">
        <f t="shared" si="3"/>
        <v>33804.172814459882</v>
      </c>
      <c r="G18" s="629">
        <f t="shared" si="4"/>
        <v>18684.224230402786</v>
      </c>
      <c r="H18" s="629">
        <f t="shared" si="5"/>
        <v>33659.16016108574</v>
      </c>
      <c r="I18" s="629">
        <f t="shared" si="6"/>
        <v>16082.472416710192</v>
      </c>
      <c r="J18" s="630">
        <f t="shared" si="7"/>
        <v>26826.173120194493</v>
      </c>
      <c r="K18" s="629">
        <f t="shared" si="8"/>
        <v>34109.381198216674</v>
      </c>
      <c r="L18" s="630">
        <f t="shared" si="9"/>
        <v>13486.869571808485</v>
      </c>
      <c r="M18" s="629">
        <f t="shared" si="10"/>
        <v>30406.280904998002</v>
      </c>
      <c r="N18" s="629">
        <f t="shared" si="11"/>
        <v>72383.203643718123</v>
      </c>
      <c r="O18" s="632">
        <f t="shared" si="12"/>
        <v>336232.48970740417</v>
      </c>
    </row>
    <row r="19" spans="1:15" x14ac:dyDescent="0.2">
      <c r="A19" s="602" t="s">
        <v>158</v>
      </c>
      <c r="B19" s="633">
        <f>FOCO!J20</f>
        <v>3.241687505378259</v>
      </c>
      <c r="C19" s="629">
        <f t="shared" si="0"/>
        <v>16867.202093461758</v>
      </c>
      <c r="D19" s="630">
        <f t="shared" si="1"/>
        <v>42014.697154572175</v>
      </c>
      <c r="E19" s="629">
        <f t="shared" si="2"/>
        <v>4653.3029983596525</v>
      </c>
      <c r="F19" s="630">
        <f t="shared" si="3"/>
        <v>37818.878216465055</v>
      </c>
      <c r="G19" s="629">
        <f t="shared" si="4"/>
        <v>20903.230042548777</v>
      </c>
      <c r="H19" s="629">
        <f t="shared" si="5"/>
        <v>37656.643337714893</v>
      </c>
      <c r="I19" s="629">
        <f t="shared" si="6"/>
        <v>17992.484806108077</v>
      </c>
      <c r="J19" s="630">
        <f t="shared" si="7"/>
        <v>30012.14612808013</v>
      </c>
      <c r="K19" s="629">
        <f t="shared" si="8"/>
        <v>38160.334247922947</v>
      </c>
      <c r="L19" s="630">
        <f t="shared" si="9"/>
        <v>15088.618812154271</v>
      </c>
      <c r="M19" s="629">
        <f t="shared" si="10"/>
        <v>34017.440416996622</v>
      </c>
      <c r="N19" s="629">
        <f t="shared" si="11"/>
        <v>80979.693795329542</v>
      </c>
      <c r="O19" s="632">
        <f t="shared" si="12"/>
        <v>376164.67204971384</v>
      </c>
    </row>
    <row r="20" spans="1:15" x14ac:dyDescent="0.2">
      <c r="A20" s="602" t="s">
        <v>285</v>
      </c>
      <c r="B20" s="633">
        <f>FOCO!J21</f>
        <v>5.2410315169123853</v>
      </c>
      <c r="C20" s="629">
        <f t="shared" si="0"/>
        <v>27270.221953009765</v>
      </c>
      <c r="D20" s="630">
        <f t="shared" si="1"/>
        <v>67927.69247353707</v>
      </c>
      <c r="E20" s="629">
        <f t="shared" si="2"/>
        <v>7523.2753409092384</v>
      </c>
      <c r="F20" s="630">
        <f t="shared" si="3"/>
        <v>61144.059178411255</v>
      </c>
      <c r="G20" s="629">
        <f t="shared" si="4"/>
        <v>33795.511528025738</v>
      </c>
      <c r="H20" s="629">
        <f t="shared" si="5"/>
        <v>60881.764274518959</v>
      </c>
      <c r="I20" s="629">
        <f t="shared" si="6"/>
        <v>29089.534318137885</v>
      </c>
      <c r="J20" s="630">
        <f t="shared" si="7"/>
        <v>48522.44501867675</v>
      </c>
      <c r="K20" s="629">
        <f t="shared" si="8"/>
        <v>61696.111718806198</v>
      </c>
      <c r="L20" s="630">
        <f t="shared" si="9"/>
        <v>24394.679194085405</v>
      </c>
      <c r="M20" s="629">
        <f t="shared" si="10"/>
        <v>54998.045633447015</v>
      </c>
      <c r="N20" s="629">
        <f t="shared" si="11"/>
        <v>130924.75036754446</v>
      </c>
      <c r="O20" s="632">
        <f t="shared" si="12"/>
        <v>608168.09099910967</v>
      </c>
    </row>
    <row r="21" spans="1:15" x14ac:dyDescent="0.2">
      <c r="A21" s="602" t="s">
        <v>286</v>
      </c>
      <c r="B21" s="633">
        <f>FOCO!J22</f>
        <v>2.8936083217094719</v>
      </c>
      <c r="C21" s="629">
        <f t="shared" si="0"/>
        <v>15056.070722616209</v>
      </c>
      <c r="D21" s="630">
        <f t="shared" si="1"/>
        <v>37503.330323749811</v>
      </c>
      <c r="E21" s="629">
        <f t="shared" si="2"/>
        <v>4153.6503000828179</v>
      </c>
      <c r="F21" s="630">
        <f t="shared" si="3"/>
        <v>33758.041311298774</v>
      </c>
      <c r="G21" s="629">
        <f t="shared" si="4"/>
        <v>18658.726450768347</v>
      </c>
      <c r="H21" s="629">
        <f t="shared" si="5"/>
        <v>33613.226552182081</v>
      </c>
      <c r="I21" s="629">
        <f t="shared" si="6"/>
        <v>16060.525166848409</v>
      </c>
      <c r="J21" s="630">
        <f t="shared" si="7"/>
        <v>26789.564276165467</v>
      </c>
      <c r="K21" s="629">
        <f t="shared" si="8"/>
        <v>34062.833186667762</v>
      </c>
      <c r="L21" s="630">
        <f t="shared" si="9"/>
        <v>13468.464460412915</v>
      </c>
      <c r="M21" s="629">
        <f t="shared" si="10"/>
        <v>30364.786399234308</v>
      </c>
      <c r="N21" s="629">
        <f t="shared" si="11"/>
        <v>72284.42453718507</v>
      </c>
      <c r="O21" s="632">
        <f t="shared" si="12"/>
        <v>335773.64368721197</v>
      </c>
    </row>
    <row r="22" spans="1:15" x14ac:dyDescent="0.2">
      <c r="A22" s="602" t="s">
        <v>287</v>
      </c>
      <c r="B22" s="633">
        <f>FOCO!J23</f>
        <v>5.7177624010736645</v>
      </c>
      <c r="C22" s="629">
        <f t="shared" si="0"/>
        <v>29750.755981660597</v>
      </c>
      <c r="D22" s="630">
        <f t="shared" si="1"/>
        <v>74106.48166559721</v>
      </c>
      <c r="E22" s="629">
        <f t="shared" si="2"/>
        <v>8207.6020223052219</v>
      </c>
      <c r="F22" s="630">
        <f t="shared" si="3"/>
        <v>66705.800469084905</v>
      </c>
      <c r="G22" s="629">
        <f t="shared" si="4"/>
        <v>36869.594185122602</v>
      </c>
      <c r="H22" s="629">
        <f t="shared" si="5"/>
        <v>66419.64688755633</v>
      </c>
      <c r="I22" s="629">
        <f t="shared" si="6"/>
        <v>31735.555310489341</v>
      </c>
      <c r="J22" s="630">
        <f t="shared" si="7"/>
        <v>52936.108252865524</v>
      </c>
      <c r="K22" s="629">
        <f t="shared" si="8"/>
        <v>67308.068409794985</v>
      </c>
      <c r="L22" s="630">
        <f t="shared" si="9"/>
        <v>26613.65020074679</v>
      </c>
      <c r="M22" s="629">
        <f t="shared" si="10"/>
        <v>60000.737725140818</v>
      </c>
      <c r="N22" s="629">
        <f t="shared" si="11"/>
        <v>142833.83196720728</v>
      </c>
      <c r="O22" s="632">
        <f t="shared" si="12"/>
        <v>663487.83307757159</v>
      </c>
    </row>
    <row r="23" spans="1:15" x14ac:dyDescent="0.2">
      <c r="A23" s="602" t="s">
        <v>162</v>
      </c>
      <c r="B23" s="633">
        <f>FOCO!J24</f>
        <v>3.0983141490256898</v>
      </c>
      <c r="C23" s="629">
        <f t="shared" si="0"/>
        <v>16121.199472171305</v>
      </c>
      <c r="D23" s="630">
        <f t="shared" si="1"/>
        <v>40156.471111132239</v>
      </c>
      <c r="E23" s="629">
        <f t="shared" si="2"/>
        <v>4447.4967113892335</v>
      </c>
      <c r="F23" s="630">
        <f t="shared" si="3"/>
        <v>36146.224854786087</v>
      </c>
      <c r="G23" s="629">
        <f t="shared" si="4"/>
        <v>19978.721975426997</v>
      </c>
      <c r="H23" s="629">
        <f t="shared" si="5"/>
        <v>35991.165300321591</v>
      </c>
      <c r="I23" s="629">
        <f t="shared" si="6"/>
        <v>17196.713180528975</v>
      </c>
      <c r="J23" s="630">
        <f t="shared" si="7"/>
        <v>28684.768916492761</v>
      </c>
      <c r="K23" s="629">
        <f t="shared" si="8"/>
        <v>36472.578968740905</v>
      </c>
      <c r="L23" s="630">
        <f t="shared" si="9"/>
        <v>14421.279372978239</v>
      </c>
      <c r="M23" s="629">
        <f t="shared" si="10"/>
        <v>32512.917047912888</v>
      </c>
      <c r="N23" s="629">
        <f t="shared" si="11"/>
        <v>77398.123864058536</v>
      </c>
      <c r="O23" s="632">
        <f t="shared" si="12"/>
        <v>359527.66077593976</v>
      </c>
    </row>
    <row r="24" spans="1:15" x14ac:dyDescent="0.2">
      <c r="A24" s="602" t="s">
        <v>163</v>
      </c>
      <c r="B24" s="633">
        <f>FOCO!J25</f>
        <v>24.219218437611406</v>
      </c>
      <c r="C24" s="629">
        <f t="shared" si="0"/>
        <v>126017.83831881704</v>
      </c>
      <c r="D24" s="630">
        <f t="shared" si="1"/>
        <v>313899.20413008437</v>
      </c>
      <c r="E24" s="629">
        <f t="shared" si="2"/>
        <v>34765.646468601888</v>
      </c>
      <c r="F24" s="630">
        <f t="shared" si="3"/>
        <v>282551.50167015038</v>
      </c>
      <c r="G24" s="629">
        <f t="shared" si="4"/>
        <v>156171.71414955883</v>
      </c>
      <c r="H24" s="629">
        <f t="shared" si="5"/>
        <v>281339.41631024738</v>
      </c>
      <c r="I24" s="629">
        <f t="shared" si="6"/>
        <v>134425.02370495713</v>
      </c>
      <c r="J24" s="630">
        <f t="shared" si="7"/>
        <v>224226.03093343831</v>
      </c>
      <c r="K24" s="629">
        <f t="shared" si="8"/>
        <v>285102.57983514876</v>
      </c>
      <c r="L24" s="630">
        <f t="shared" si="9"/>
        <v>112729.72929288443</v>
      </c>
      <c r="M24" s="629">
        <f t="shared" si="10"/>
        <v>254150.29017472721</v>
      </c>
      <c r="N24" s="629">
        <f t="shared" si="11"/>
        <v>605013.55845868913</v>
      </c>
      <c r="O24" s="632">
        <f t="shared" si="12"/>
        <v>2810392.5334473047</v>
      </c>
    </row>
    <row r="25" spans="1:15" x14ac:dyDescent="0.2">
      <c r="A25" s="602" t="s">
        <v>164</v>
      </c>
      <c r="B25" s="633">
        <f>FOCO!J26</f>
        <v>2.931527964862414</v>
      </c>
      <c r="C25" s="629">
        <f t="shared" si="0"/>
        <v>15253.374837621579</v>
      </c>
      <c r="D25" s="630">
        <f t="shared" si="1"/>
        <v>37994.797289839873</v>
      </c>
      <c r="E25" s="629">
        <f t="shared" si="2"/>
        <v>4208.0823170146059</v>
      </c>
      <c r="F25" s="630">
        <f t="shared" si="3"/>
        <v>34200.427680754088</v>
      </c>
      <c r="G25" s="629">
        <f t="shared" si="4"/>
        <v>18903.242007138982</v>
      </c>
      <c r="H25" s="629">
        <f t="shared" si="5"/>
        <v>34053.715178965103</v>
      </c>
      <c r="I25" s="629">
        <f t="shared" si="6"/>
        <v>16270.992277620317</v>
      </c>
      <c r="J25" s="630">
        <f t="shared" si="7"/>
        <v>27140.631388446534</v>
      </c>
      <c r="K25" s="629">
        <f t="shared" si="8"/>
        <v>34509.213738425904</v>
      </c>
      <c r="L25" s="630">
        <f t="shared" si="9"/>
        <v>13644.963595532632</v>
      </c>
      <c r="M25" s="629">
        <f t="shared" si="10"/>
        <v>30762.705445857053</v>
      </c>
      <c r="N25" s="629">
        <f t="shared" si="11"/>
        <v>73231.684594256818</v>
      </c>
      <c r="O25" s="632">
        <f t="shared" si="12"/>
        <v>340173.83035147347</v>
      </c>
    </row>
    <row r="26" spans="1:15" ht="13.5" thickBot="1" x14ac:dyDescent="0.25">
      <c r="A26" s="602" t="s">
        <v>165</v>
      </c>
      <c r="B26" s="634">
        <f>FOCO!J27</f>
        <v>4.2618673965262408</v>
      </c>
      <c r="C26" s="629">
        <f t="shared" si="0"/>
        <v>22175.418991953629</v>
      </c>
      <c r="D26" s="630">
        <f t="shared" si="1"/>
        <v>55236.992363056634</v>
      </c>
      <c r="E26" s="629">
        <f t="shared" si="2"/>
        <v>6117.7273571138739</v>
      </c>
      <c r="F26" s="630">
        <f t="shared" si="3"/>
        <v>49720.722240048723</v>
      </c>
      <c r="G26" s="629">
        <f t="shared" si="4"/>
        <v>27481.610874775321</v>
      </c>
      <c r="H26" s="629">
        <f t="shared" si="5"/>
        <v>49507.431002328383</v>
      </c>
      <c r="I26" s="635">
        <f t="shared" si="6"/>
        <v>23654.8354060729</v>
      </c>
      <c r="J26" s="630">
        <f t="shared" si="7"/>
        <v>39457.161392279522</v>
      </c>
      <c r="K26" s="629">
        <f t="shared" si="8"/>
        <v>50169.636679026335</v>
      </c>
      <c r="L26" s="630">
        <f t="shared" si="9"/>
        <v>19837.104121678505</v>
      </c>
      <c r="M26" s="629">
        <f t="shared" si="10"/>
        <v>44722.947534560422</v>
      </c>
      <c r="N26" s="629">
        <f t="shared" si="11"/>
        <v>106464.52386122955</v>
      </c>
      <c r="O26" s="632">
        <f t="shared" si="12"/>
        <v>494546.11182412377</v>
      </c>
    </row>
    <row r="27" spans="1:15" ht="13.5" thickBot="1" x14ac:dyDescent="0.25">
      <c r="A27" s="607" t="s">
        <v>288</v>
      </c>
      <c r="B27" s="636">
        <f>SUM(B7:B26)</f>
        <v>99.999999999999986</v>
      </c>
      <c r="C27" s="637">
        <f>' FOCO ESTIMACION'!C31</f>
        <v>520321.65547966957</v>
      </c>
      <c r="D27" s="637">
        <f>' FOCO ESTIMACION'!D31</f>
        <v>1296074.871031397</v>
      </c>
      <c r="E27" s="637">
        <f>' FOCO ESTIMACION'!E31</f>
        <v>143545.69928900898</v>
      </c>
      <c r="F27" s="637">
        <f>' FOCO ESTIMACION'!F31</f>
        <v>1166641.6998467632</v>
      </c>
      <c r="G27" s="637">
        <f>' FOCO ESTIMACION'!G31</f>
        <v>644825.57334315497</v>
      </c>
      <c r="H27" s="637">
        <f>' FOCO ESTIMACION'!H31</f>
        <v>1161637.0570956962</v>
      </c>
      <c r="I27" s="637">
        <f>' FOCO ESTIMACION'!I31</f>
        <v>555034.52372435294</v>
      </c>
      <c r="J27" s="637">
        <f>' FOCO ESTIMACION'!J31</f>
        <v>925818.60769390035</v>
      </c>
      <c r="K27" s="637">
        <f>' FOCO ESTIMACION'!K31</f>
        <v>1177174.980148809</v>
      </c>
      <c r="L27" s="637">
        <f>' FOCO ESTIMACION'!L31</f>
        <v>465455.68587721232</v>
      </c>
      <c r="M27" s="637">
        <f>' FOCO ESTIMACION'!M31</f>
        <v>1049374.4495901763</v>
      </c>
      <c r="N27" s="637">
        <f>' FOCO ESTIMACION'!N31</f>
        <v>2498072.1818798622</v>
      </c>
      <c r="O27" s="637">
        <f>SUM(C27:N27)</f>
        <v>11603976.985000003</v>
      </c>
    </row>
    <row r="28" spans="1:15" x14ac:dyDescent="0.2">
      <c r="A28" s="611" t="s">
        <v>289</v>
      </c>
      <c r="O28" s="606"/>
    </row>
    <row r="31" spans="1:15" x14ac:dyDescent="0.2">
      <c r="C31" s="606"/>
      <c r="D31" s="606"/>
      <c r="E31" s="606"/>
      <c r="F31" s="606"/>
      <c r="G31" s="606"/>
      <c r="H31" s="606"/>
      <c r="I31" s="606"/>
      <c r="J31" s="606"/>
      <c r="K31" s="606"/>
      <c r="L31" s="606"/>
      <c r="M31" s="606"/>
      <c r="N31" s="606"/>
      <c r="O31" s="606"/>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1"/>
  <sheetViews>
    <sheetView topLeftCell="B1" workbookViewId="0">
      <selection activeCell="I40" sqref="I40"/>
    </sheetView>
  </sheetViews>
  <sheetFormatPr baseColWidth="10" defaultRowHeight="12.75" x14ac:dyDescent="0.2"/>
  <cols>
    <col min="1" max="1" width="16.5703125" style="597" customWidth="1"/>
    <col min="2" max="2" width="9.28515625" style="597" bestFit="1" customWidth="1"/>
    <col min="3" max="3" width="12.7109375" style="597" bestFit="1" customWidth="1"/>
    <col min="4" max="14" width="11.85546875" style="597" bestFit="1" customWidth="1"/>
    <col min="15" max="15" width="13.7109375"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347</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13">
        <v>3.8100000000000002E-2</v>
      </c>
      <c r="C7" s="629">
        <v>221149.74295927721</v>
      </c>
      <c r="D7" s="630">
        <v>222516.2298324453</v>
      </c>
      <c r="E7" s="629">
        <v>252825.77036195033</v>
      </c>
      <c r="F7" s="630">
        <v>242573.30921120683</v>
      </c>
      <c r="G7" s="629">
        <v>258898.84233744943</v>
      </c>
      <c r="H7" s="629">
        <v>248735.24449241886</v>
      </c>
      <c r="I7" s="631">
        <v>257861.19628767337</v>
      </c>
      <c r="J7" s="630">
        <v>255959.02638851784</v>
      </c>
      <c r="K7" s="629">
        <v>244192.50881827332</v>
      </c>
      <c r="L7" s="630">
        <v>257063.79269192531</v>
      </c>
      <c r="M7" s="629">
        <v>247583.00890387889</v>
      </c>
      <c r="N7" s="629">
        <v>182239.87521498336</v>
      </c>
      <c r="O7" s="632">
        <f>SUM(C7:N7)</f>
        <v>2891598.5474999999</v>
      </c>
    </row>
    <row r="8" spans="1:15" x14ac:dyDescent="0.2">
      <c r="A8" s="602" t="s">
        <v>147</v>
      </c>
      <c r="B8" s="614">
        <v>1.6299999999999999E-2</v>
      </c>
      <c r="C8" s="629">
        <v>94612.619691239321</v>
      </c>
      <c r="D8" s="630">
        <v>95197.232185534333</v>
      </c>
      <c r="E8" s="629">
        <v>108164.30595537506</v>
      </c>
      <c r="F8" s="630">
        <v>103778.08241844281</v>
      </c>
      <c r="G8" s="629">
        <v>110762.49685302953</v>
      </c>
      <c r="H8" s="629">
        <v>106414.29095082486</v>
      </c>
      <c r="I8" s="629">
        <v>110318.56954039568</v>
      </c>
      <c r="J8" s="630">
        <v>109504.78031844726</v>
      </c>
      <c r="K8" s="629">
        <v>104470.81085926128</v>
      </c>
      <c r="L8" s="630">
        <v>109977.42312016751</v>
      </c>
      <c r="M8" s="629">
        <v>105921.33976727625</v>
      </c>
      <c r="N8" s="629">
        <v>77966.140840005988</v>
      </c>
      <c r="O8" s="632">
        <f t="shared" ref="O8:O26" si="0">SUM(C8:N8)</f>
        <v>1237088.0925</v>
      </c>
    </row>
    <row r="9" spans="1:15" x14ac:dyDescent="0.2">
      <c r="A9" s="602" t="s">
        <v>148</v>
      </c>
      <c r="B9" s="614">
        <v>1.32E-2</v>
      </c>
      <c r="C9" s="629">
        <v>76618.808584316517</v>
      </c>
      <c r="D9" s="630">
        <v>77092.237107303881</v>
      </c>
      <c r="E9" s="629">
        <v>87593.180282880421</v>
      </c>
      <c r="F9" s="630">
        <v>84041.146498370872</v>
      </c>
      <c r="G9" s="629">
        <v>89697.23671533681</v>
      </c>
      <c r="H9" s="629">
        <v>86175.990217845901</v>
      </c>
      <c r="I9" s="629">
        <v>89337.73729651676</v>
      </c>
      <c r="J9" s="630">
        <v>88678.717803895939</v>
      </c>
      <c r="K9" s="629">
        <v>84602.129039401771</v>
      </c>
      <c r="L9" s="630">
        <v>89061.47148381664</v>
      </c>
      <c r="M9" s="629">
        <v>85776.790486383237</v>
      </c>
      <c r="N9" s="629">
        <v>63138.224483931241</v>
      </c>
      <c r="O9" s="632">
        <f t="shared" si="0"/>
        <v>1001813.6699999999</v>
      </c>
    </row>
    <row r="10" spans="1:15" x14ac:dyDescent="0.2">
      <c r="A10" s="602" t="s">
        <v>283</v>
      </c>
      <c r="B10" s="614">
        <v>7.6399999999999996E-2</v>
      </c>
      <c r="C10" s="629">
        <v>443460.37695771072</v>
      </c>
      <c r="D10" s="630">
        <v>446200.52386348607</v>
      </c>
      <c r="E10" s="629">
        <v>506978.71012212604</v>
      </c>
      <c r="F10" s="630">
        <v>486419.96912693436</v>
      </c>
      <c r="G10" s="629">
        <v>519156.73371604027</v>
      </c>
      <c r="H10" s="629">
        <v>498776.18580632017</v>
      </c>
      <c r="I10" s="629">
        <v>517075.99465559697</v>
      </c>
      <c r="J10" s="630">
        <v>513261.66971345828</v>
      </c>
      <c r="K10" s="629">
        <v>489666.86807653756</v>
      </c>
      <c r="L10" s="630">
        <v>515477.00161845388</v>
      </c>
      <c r="M10" s="629">
        <v>496465.66614846047</v>
      </c>
      <c r="N10" s="629">
        <v>365436.39019487472</v>
      </c>
      <c r="O10" s="632">
        <f t="shared" si="0"/>
        <v>5798376.0899999999</v>
      </c>
    </row>
    <row r="11" spans="1:15" x14ac:dyDescent="0.2">
      <c r="A11" s="602" t="s">
        <v>150</v>
      </c>
      <c r="B11" s="614">
        <v>6.2E-2</v>
      </c>
      <c r="C11" s="629">
        <v>359876.22213845636</v>
      </c>
      <c r="D11" s="630">
        <v>362099.90156460914</v>
      </c>
      <c r="E11" s="629">
        <v>411422.51344989287</v>
      </c>
      <c r="F11" s="630">
        <v>394738.71840143891</v>
      </c>
      <c r="G11" s="629">
        <v>421305.20275385468</v>
      </c>
      <c r="H11" s="629">
        <v>404766.0146595792</v>
      </c>
      <c r="I11" s="629">
        <v>419616.64487757871</v>
      </c>
      <c r="J11" s="630">
        <v>416521.25029102637</v>
      </c>
      <c r="K11" s="629">
        <v>397373.63639719016</v>
      </c>
      <c r="L11" s="630">
        <v>418319.03272701753</v>
      </c>
      <c r="M11" s="629">
        <v>402890.98561786063</v>
      </c>
      <c r="N11" s="629">
        <v>296558.32712149521</v>
      </c>
      <c r="O11" s="632">
        <f t="shared" si="0"/>
        <v>4705488.4499999993</v>
      </c>
    </row>
    <row r="12" spans="1:15" x14ac:dyDescent="0.2">
      <c r="A12" s="602" t="s">
        <v>284</v>
      </c>
      <c r="B12" s="614">
        <v>7.2300000000000003E-2</v>
      </c>
      <c r="C12" s="629">
        <v>419662.11065500637</v>
      </c>
      <c r="D12" s="630">
        <v>422255.20779227809</v>
      </c>
      <c r="E12" s="629">
        <v>479771.73745850415</v>
      </c>
      <c r="F12" s="630">
        <v>460316.27968425862</v>
      </c>
      <c r="G12" s="629">
        <v>491296.22837264027</v>
      </c>
      <c r="H12" s="629">
        <v>472009.40096592868</v>
      </c>
      <c r="I12" s="629">
        <v>489327.15201046679</v>
      </c>
      <c r="J12" s="630">
        <v>485717.52251679369</v>
      </c>
      <c r="K12" s="629">
        <v>463388.93405672337</v>
      </c>
      <c r="L12" s="630">
        <v>487813.9688090866</v>
      </c>
      <c r="M12" s="629">
        <v>469822.87516405364</v>
      </c>
      <c r="N12" s="629">
        <v>345825.27501425974</v>
      </c>
      <c r="O12" s="632">
        <f t="shared" si="0"/>
        <v>5487206.6924999999</v>
      </c>
    </row>
    <row r="13" spans="1:15" x14ac:dyDescent="0.2">
      <c r="A13" s="602" t="s">
        <v>152</v>
      </c>
      <c r="B13" s="614">
        <v>0.02</v>
      </c>
      <c r="C13" s="629">
        <v>116089.10391563109</v>
      </c>
      <c r="D13" s="630">
        <v>116806.41985955134</v>
      </c>
      <c r="E13" s="629">
        <v>132716.93982254609</v>
      </c>
      <c r="F13" s="630">
        <v>127335.07045207708</v>
      </c>
      <c r="G13" s="629">
        <v>135904.90411414669</v>
      </c>
      <c r="H13" s="629">
        <v>130569.68214825136</v>
      </c>
      <c r="I13" s="629">
        <v>135360.20802502538</v>
      </c>
      <c r="J13" s="630">
        <v>134361.69364226659</v>
      </c>
      <c r="K13" s="629">
        <v>128185.0439990936</v>
      </c>
      <c r="L13" s="630">
        <v>134941.62346032824</v>
      </c>
      <c r="M13" s="629">
        <v>129964.83407027763</v>
      </c>
      <c r="N13" s="629">
        <v>95663.976490804911</v>
      </c>
      <c r="O13" s="632">
        <f t="shared" si="0"/>
        <v>1517899.5</v>
      </c>
    </row>
    <row r="14" spans="1:15" x14ac:dyDescent="0.2">
      <c r="A14" s="602" t="s">
        <v>153</v>
      </c>
      <c r="B14" s="614">
        <v>2.6700000000000002E-2</v>
      </c>
      <c r="C14" s="629">
        <v>154978.95372736751</v>
      </c>
      <c r="D14" s="630">
        <v>155936.57051250106</v>
      </c>
      <c r="E14" s="629">
        <v>177177.11466309906</v>
      </c>
      <c r="F14" s="630">
        <v>169992.31905352289</v>
      </c>
      <c r="G14" s="629">
        <v>181433.04699238582</v>
      </c>
      <c r="H14" s="629">
        <v>174310.52566791559</v>
      </c>
      <c r="I14" s="629">
        <v>180705.8777134089</v>
      </c>
      <c r="J14" s="630">
        <v>179372.86101242588</v>
      </c>
      <c r="K14" s="629">
        <v>171127.03373878996</v>
      </c>
      <c r="L14" s="630">
        <v>180147.06731953821</v>
      </c>
      <c r="M14" s="629">
        <v>173503.05348382064</v>
      </c>
      <c r="N14" s="629">
        <v>127711.40861522456</v>
      </c>
      <c r="O14" s="632">
        <f t="shared" si="0"/>
        <v>2026395.8325</v>
      </c>
    </row>
    <row r="15" spans="1:15" x14ac:dyDescent="0.2">
      <c r="A15" s="602" t="s">
        <v>154</v>
      </c>
      <c r="B15" s="614">
        <v>2.3E-2</v>
      </c>
      <c r="C15" s="629">
        <v>133502.46950297573</v>
      </c>
      <c r="D15" s="630">
        <v>134327.38283848405</v>
      </c>
      <c r="E15" s="629">
        <v>152624.48079592802</v>
      </c>
      <c r="F15" s="630">
        <v>146435.33101988863</v>
      </c>
      <c r="G15" s="629">
        <v>156290.63973126869</v>
      </c>
      <c r="H15" s="629">
        <v>150155.13447048908</v>
      </c>
      <c r="I15" s="629">
        <v>155664.23922877919</v>
      </c>
      <c r="J15" s="630">
        <v>154515.94768860657</v>
      </c>
      <c r="K15" s="629">
        <v>147412.80059895763</v>
      </c>
      <c r="L15" s="630">
        <v>155182.86697937749</v>
      </c>
      <c r="M15" s="629">
        <v>149459.55918081925</v>
      </c>
      <c r="N15" s="629">
        <v>110013.57296442564</v>
      </c>
      <c r="O15" s="632">
        <f t="shared" si="0"/>
        <v>1745584.425</v>
      </c>
    </row>
    <row r="16" spans="1:15" x14ac:dyDescent="0.2">
      <c r="A16" s="602" t="s">
        <v>155</v>
      </c>
      <c r="B16" s="614">
        <v>2.3099999999999999E-2</v>
      </c>
      <c r="C16" s="629">
        <v>134082.91502255391</v>
      </c>
      <c r="D16" s="630">
        <v>134911.41493778178</v>
      </c>
      <c r="E16" s="629">
        <v>153288.06549504073</v>
      </c>
      <c r="F16" s="630">
        <v>147072.00637214902</v>
      </c>
      <c r="G16" s="629">
        <v>156970.16425183942</v>
      </c>
      <c r="H16" s="629">
        <v>150807.98288123033</v>
      </c>
      <c r="I16" s="629">
        <v>156341.04026890433</v>
      </c>
      <c r="J16" s="630">
        <v>155187.75615681789</v>
      </c>
      <c r="K16" s="629">
        <v>148053.7258189531</v>
      </c>
      <c r="L16" s="630">
        <v>155857.57509667912</v>
      </c>
      <c r="M16" s="629">
        <v>150109.38335117066</v>
      </c>
      <c r="N16" s="629">
        <v>110491.89284687967</v>
      </c>
      <c r="O16" s="632">
        <f t="shared" si="0"/>
        <v>1753173.9224999999</v>
      </c>
    </row>
    <row r="17" spans="1:15" x14ac:dyDescent="0.2">
      <c r="A17" s="602" t="s">
        <v>156</v>
      </c>
      <c r="B17" s="614">
        <v>5.0500000000000003E-2</v>
      </c>
      <c r="C17" s="629">
        <v>293124.98738696851</v>
      </c>
      <c r="D17" s="630">
        <v>294936.21014536713</v>
      </c>
      <c r="E17" s="629">
        <v>335110.2730519289</v>
      </c>
      <c r="F17" s="630">
        <v>321521.05289149465</v>
      </c>
      <c r="G17" s="629">
        <v>343159.88288822037</v>
      </c>
      <c r="H17" s="629">
        <v>329688.44742433471</v>
      </c>
      <c r="I17" s="629">
        <v>341784.52526318911</v>
      </c>
      <c r="J17" s="630">
        <v>339263.27644672315</v>
      </c>
      <c r="K17" s="629">
        <v>323667.23609771137</v>
      </c>
      <c r="L17" s="630">
        <v>340727.59923732886</v>
      </c>
      <c r="M17" s="629">
        <v>328161.20602745103</v>
      </c>
      <c r="N17" s="629">
        <v>241551.54063928241</v>
      </c>
      <c r="O17" s="632">
        <f t="shared" si="0"/>
        <v>3832696.2374999993</v>
      </c>
    </row>
    <row r="18" spans="1:15" x14ac:dyDescent="0.2">
      <c r="A18" s="602" t="s">
        <v>157</v>
      </c>
      <c r="B18" s="614">
        <v>2.58E-2</v>
      </c>
      <c r="C18" s="629">
        <v>149754.94405116409</v>
      </c>
      <c r="D18" s="630">
        <v>150680.28161882123</v>
      </c>
      <c r="E18" s="629">
        <v>171204.85237108447</v>
      </c>
      <c r="F18" s="630">
        <v>164262.24088317942</v>
      </c>
      <c r="G18" s="629">
        <v>175317.32630724923</v>
      </c>
      <c r="H18" s="629">
        <v>168434.88997124427</v>
      </c>
      <c r="I18" s="629">
        <v>174614.66835228275</v>
      </c>
      <c r="J18" s="630">
        <v>173326.58479852389</v>
      </c>
      <c r="K18" s="629">
        <v>165358.70675883075</v>
      </c>
      <c r="L18" s="630">
        <v>174074.69426382345</v>
      </c>
      <c r="M18" s="629">
        <v>167654.63595065812</v>
      </c>
      <c r="N18" s="629">
        <v>123406.52967313833</v>
      </c>
      <c r="O18" s="632">
        <f t="shared" si="0"/>
        <v>1958090.3549999997</v>
      </c>
    </row>
    <row r="19" spans="1:15" x14ac:dyDescent="0.2">
      <c r="A19" s="602" t="s">
        <v>158</v>
      </c>
      <c r="B19" s="614">
        <v>3.39E-2</v>
      </c>
      <c r="C19" s="629">
        <v>196771.03113699469</v>
      </c>
      <c r="D19" s="630">
        <v>197986.88166193952</v>
      </c>
      <c r="E19" s="629">
        <v>224955.21299921564</v>
      </c>
      <c r="F19" s="630">
        <v>215832.94441627062</v>
      </c>
      <c r="G19" s="629">
        <v>230358.81247347861</v>
      </c>
      <c r="H19" s="629">
        <v>221315.61124128607</v>
      </c>
      <c r="I19" s="629">
        <v>229435.55260241803</v>
      </c>
      <c r="J19" s="630">
        <v>227743.07072364184</v>
      </c>
      <c r="K19" s="629">
        <v>217273.64957846366</v>
      </c>
      <c r="L19" s="630">
        <v>228726.05176525636</v>
      </c>
      <c r="M19" s="629">
        <v>220290.39374912056</v>
      </c>
      <c r="N19" s="629">
        <v>162150.44015191431</v>
      </c>
      <c r="O19" s="632">
        <f t="shared" si="0"/>
        <v>2572839.6525000003</v>
      </c>
    </row>
    <row r="20" spans="1:15" x14ac:dyDescent="0.2">
      <c r="A20" s="602" t="s">
        <v>285</v>
      </c>
      <c r="B20" s="614">
        <v>8.2000000000000007E-3</v>
      </c>
      <c r="C20" s="629">
        <v>47596.532605408749</v>
      </c>
      <c r="D20" s="630">
        <v>47890.632142416056</v>
      </c>
      <c r="E20" s="629">
        <v>54413.945327243906</v>
      </c>
      <c r="F20" s="630">
        <v>52207.378885351602</v>
      </c>
      <c r="G20" s="629">
        <v>55721.010686800146</v>
      </c>
      <c r="H20" s="629">
        <v>53533.569680783061</v>
      </c>
      <c r="I20" s="629">
        <v>55497.685290260415</v>
      </c>
      <c r="J20" s="630">
        <v>55088.294393329299</v>
      </c>
      <c r="K20" s="629">
        <v>52555.868039628382</v>
      </c>
      <c r="L20" s="630">
        <v>55326.065618734581</v>
      </c>
      <c r="M20" s="629">
        <v>53285.581968813829</v>
      </c>
      <c r="N20" s="629">
        <v>39222.230361230017</v>
      </c>
      <c r="O20" s="632">
        <f t="shared" si="0"/>
        <v>622338.79499999993</v>
      </c>
    </row>
    <row r="21" spans="1:15" x14ac:dyDescent="0.2">
      <c r="A21" s="602" t="s">
        <v>286</v>
      </c>
      <c r="B21" s="614">
        <v>2.2700000000000001E-2</v>
      </c>
      <c r="C21" s="629">
        <v>131761.13294424128</v>
      </c>
      <c r="D21" s="630">
        <v>132575.28654059078</v>
      </c>
      <c r="E21" s="629">
        <v>150633.72669858983</v>
      </c>
      <c r="F21" s="630">
        <v>144525.30496310748</v>
      </c>
      <c r="G21" s="629">
        <v>154252.06616955649</v>
      </c>
      <c r="H21" s="629">
        <v>148196.5892382653</v>
      </c>
      <c r="I21" s="629">
        <v>153633.83610840383</v>
      </c>
      <c r="J21" s="630">
        <v>152500.52228397259</v>
      </c>
      <c r="K21" s="629">
        <v>145490.02493897124</v>
      </c>
      <c r="L21" s="630">
        <v>153158.74262747256</v>
      </c>
      <c r="M21" s="629">
        <v>147510.08666976512</v>
      </c>
      <c r="N21" s="629">
        <v>108578.61331706357</v>
      </c>
      <c r="O21" s="632">
        <f t="shared" si="0"/>
        <v>1722815.9325000003</v>
      </c>
    </row>
    <row r="22" spans="1:15" x14ac:dyDescent="0.2">
      <c r="A22" s="602" t="s">
        <v>287</v>
      </c>
      <c r="B22" s="614">
        <v>8.5900000000000004E-2</v>
      </c>
      <c r="C22" s="629">
        <v>498602.70131763554</v>
      </c>
      <c r="D22" s="630">
        <v>501683.57329677301</v>
      </c>
      <c r="E22" s="629">
        <v>570019.25653783546</v>
      </c>
      <c r="F22" s="630">
        <v>546904.12759167107</v>
      </c>
      <c r="G22" s="629">
        <v>583711.56317026005</v>
      </c>
      <c r="H22" s="629">
        <v>560796.78482673969</v>
      </c>
      <c r="I22" s="629">
        <v>581372.09346748411</v>
      </c>
      <c r="J22" s="630">
        <v>577083.47419353493</v>
      </c>
      <c r="K22" s="629">
        <v>550554.763976107</v>
      </c>
      <c r="L22" s="630">
        <v>579574.27276210987</v>
      </c>
      <c r="M22" s="629">
        <v>558198.9623318424</v>
      </c>
      <c r="N22" s="629">
        <v>410876.77902800712</v>
      </c>
      <c r="O22" s="632">
        <f t="shared" si="0"/>
        <v>6519378.3525</v>
      </c>
    </row>
    <row r="23" spans="1:15" x14ac:dyDescent="0.2">
      <c r="A23" s="602" t="s">
        <v>162</v>
      </c>
      <c r="B23" s="614">
        <v>4.5499999999999999E-2</v>
      </c>
      <c r="C23" s="629">
        <v>264102.71140806068</v>
      </c>
      <c r="D23" s="630">
        <v>265734.6051804793</v>
      </c>
      <c r="E23" s="629">
        <v>301931.03809629235</v>
      </c>
      <c r="F23" s="630">
        <v>289687.28527847532</v>
      </c>
      <c r="G23" s="629">
        <v>309183.65685968369</v>
      </c>
      <c r="H23" s="629">
        <v>297046.02688727184</v>
      </c>
      <c r="I23" s="629">
        <v>307944.47325693275</v>
      </c>
      <c r="J23" s="630">
        <v>305672.85303615645</v>
      </c>
      <c r="K23" s="629">
        <v>291620.97509793792</v>
      </c>
      <c r="L23" s="630">
        <v>306992.19337224675</v>
      </c>
      <c r="M23" s="629">
        <v>295669.99750988156</v>
      </c>
      <c r="N23" s="629">
        <v>217635.54651658115</v>
      </c>
      <c r="O23" s="632">
        <f t="shared" si="0"/>
        <v>3453221.3624999993</v>
      </c>
    </row>
    <row r="24" spans="1:15" x14ac:dyDescent="0.2">
      <c r="A24" s="602" t="s">
        <v>163</v>
      </c>
      <c r="B24" s="614">
        <v>0.29020000000000001</v>
      </c>
      <c r="C24" s="629">
        <v>1684452.897815807</v>
      </c>
      <c r="D24" s="630">
        <v>1694861.1521620899</v>
      </c>
      <c r="E24" s="629">
        <v>1925722.796825144</v>
      </c>
      <c r="F24" s="630">
        <v>1847631.8722596385</v>
      </c>
      <c r="G24" s="629">
        <v>1971980.1586962685</v>
      </c>
      <c r="H24" s="629">
        <v>1894566.0879711274</v>
      </c>
      <c r="I24" s="629">
        <v>1964076.6184431184</v>
      </c>
      <c r="J24" s="630">
        <v>1949588.1747492882</v>
      </c>
      <c r="K24" s="629">
        <v>1859964.9884268483</v>
      </c>
      <c r="L24" s="630">
        <v>1958002.9564093628</v>
      </c>
      <c r="M24" s="629">
        <v>1885789.7423597283</v>
      </c>
      <c r="N24" s="629">
        <v>1388084.2988815792</v>
      </c>
      <c r="O24" s="632">
        <f t="shared" si="0"/>
        <v>22024721.744999997</v>
      </c>
    </row>
    <row r="25" spans="1:15" x14ac:dyDescent="0.2">
      <c r="A25" s="602" t="s">
        <v>164</v>
      </c>
      <c r="B25" s="614">
        <v>2.7300000000000001E-2</v>
      </c>
      <c r="C25" s="629">
        <v>158461.62684483643</v>
      </c>
      <c r="D25" s="630">
        <v>159440.76310828759</v>
      </c>
      <c r="E25" s="629">
        <v>181158.62285777542</v>
      </c>
      <c r="F25" s="630">
        <v>173812.37116708522</v>
      </c>
      <c r="G25" s="629">
        <v>185510.19411581021</v>
      </c>
      <c r="H25" s="629">
        <v>178227.61613236312</v>
      </c>
      <c r="I25" s="629">
        <v>184766.68395415967</v>
      </c>
      <c r="J25" s="630">
        <v>183403.7118216939</v>
      </c>
      <c r="K25" s="629">
        <v>174972.58505876278</v>
      </c>
      <c r="L25" s="630">
        <v>184195.31602334807</v>
      </c>
      <c r="M25" s="629">
        <v>177401.99850592896</v>
      </c>
      <c r="N25" s="629">
        <v>130581.3279099487</v>
      </c>
      <c r="O25" s="632">
        <f t="shared" si="0"/>
        <v>2071932.8175000001</v>
      </c>
    </row>
    <row r="26" spans="1:15" ht="13.5" thickBot="1" x14ac:dyDescent="0.25">
      <c r="A26" s="602" t="s">
        <v>165</v>
      </c>
      <c r="B26" s="615">
        <v>3.8899999999999997E-2</v>
      </c>
      <c r="C26" s="629">
        <v>225793.30711590243</v>
      </c>
      <c r="D26" s="630">
        <v>227188.48662682733</v>
      </c>
      <c r="E26" s="629">
        <v>258134.44795485213</v>
      </c>
      <c r="F26" s="630">
        <v>247666.71202928989</v>
      </c>
      <c r="G26" s="629">
        <v>264335.03850201529</v>
      </c>
      <c r="H26" s="629">
        <v>253958.0317783489</v>
      </c>
      <c r="I26" s="635">
        <v>263275.60460867436</v>
      </c>
      <c r="J26" s="630">
        <v>261333.49413420848</v>
      </c>
      <c r="K26" s="629">
        <v>249319.91057823703</v>
      </c>
      <c r="L26" s="630">
        <v>262461.45763033844</v>
      </c>
      <c r="M26" s="629">
        <v>252781.60226668997</v>
      </c>
      <c r="N26" s="629">
        <v>186066.43427461552</v>
      </c>
      <c r="O26" s="632">
        <f t="shared" si="0"/>
        <v>2952314.5274999999</v>
      </c>
    </row>
    <row r="27" spans="1:15" ht="13.5" thickBot="1" x14ac:dyDescent="0.25">
      <c r="A27" s="607" t="s">
        <v>288</v>
      </c>
      <c r="B27" s="608">
        <f>SUM(B7:B26)</f>
        <v>1</v>
      </c>
      <c r="C27" s="637">
        <f>'X22.55 POE'!B74</f>
        <v>5804455.2000000002</v>
      </c>
      <c r="D27" s="637">
        <f>'X22.55 POE'!C74</f>
        <v>5840320.9900000002</v>
      </c>
      <c r="E27" s="637">
        <f>'X22.55 POE'!D74</f>
        <v>6635846.9900000002</v>
      </c>
      <c r="F27" s="637">
        <f>'X22.55 POE'!E74</f>
        <v>6366753.5199999996</v>
      </c>
      <c r="G27" s="637">
        <f>'X22.55 POE'!F74</f>
        <v>6795245.21</v>
      </c>
      <c r="H27" s="637">
        <f>'X22.55 POE'!G74</f>
        <v>6528484.1100000003</v>
      </c>
      <c r="I27" s="637">
        <f>'X22.55 POE'!H74</f>
        <v>6768010.4000000004</v>
      </c>
      <c r="J27" s="637">
        <f>'X22.55 POE'!I74</f>
        <v>6718084.6799999997</v>
      </c>
      <c r="K27" s="637">
        <f>'X22.55 POE'!J74</f>
        <v>6409252.2000000002</v>
      </c>
      <c r="L27" s="637">
        <f>'X22.55 POE'!K74</f>
        <v>6747081.1699999999</v>
      </c>
      <c r="M27" s="637">
        <f>'X22.55 POE'!L74</f>
        <v>6498241.7000000002</v>
      </c>
      <c r="N27" s="637">
        <f>'X22.55 POE'!M74</f>
        <v>4783198.82</v>
      </c>
      <c r="O27" s="637">
        <f>SUM(C27:N27)</f>
        <v>75894974.99000001</v>
      </c>
    </row>
    <row r="28" spans="1:15" x14ac:dyDescent="0.2">
      <c r="A28" s="611" t="s">
        <v>289</v>
      </c>
      <c r="O28" s="606"/>
    </row>
    <row r="30" spans="1:15" x14ac:dyDescent="0.2">
      <c r="C30" s="606">
        <f>'X22.55 POE'!B73</f>
        <v>6324776.8554796698</v>
      </c>
      <c r="D30" s="606">
        <f>'X22.55 POE'!C73</f>
        <v>7136395.8610313972</v>
      </c>
      <c r="E30" s="606">
        <f>'X22.55 POE'!D73</f>
        <v>6779392.6892890092</v>
      </c>
      <c r="F30" s="606">
        <f>'X22.55 POE'!E73</f>
        <v>7533395.2198467627</v>
      </c>
      <c r="G30" s="606">
        <f>'X22.55 POE'!F73</f>
        <v>7440070.7833431549</v>
      </c>
      <c r="H30" s="606">
        <f>'X22.55 POE'!G73</f>
        <v>7690121.1670956966</v>
      </c>
      <c r="I30" s="606">
        <f>'X22.55 POE'!H73</f>
        <v>7323044.9237243533</v>
      </c>
      <c r="J30" s="606">
        <f>'X22.55 POE'!I73</f>
        <v>7643903.2876939001</v>
      </c>
      <c r="K30" s="606">
        <f>'X22.55 POE'!J73</f>
        <v>7586427.1801488092</v>
      </c>
      <c r="L30" s="606">
        <f>'X22.55 POE'!K73</f>
        <v>7212536.8558772122</v>
      </c>
      <c r="M30" s="606">
        <f>'X22.55 POE'!L73</f>
        <v>7547616.1495901765</v>
      </c>
      <c r="N30" s="606">
        <f>'X22.55 POE'!M73</f>
        <v>7281271.0018798625</v>
      </c>
      <c r="O30" s="606">
        <f>SUM(C30:N30)</f>
        <v>87498951.975000009</v>
      </c>
    </row>
    <row r="31" spans="1:15" x14ac:dyDescent="0.2">
      <c r="C31" s="606">
        <f t="shared" ref="C31:O31" si="1">C30-C27</f>
        <v>520321.65547966957</v>
      </c>
      <c r="D31" s="606">
        <f t="shared" si="1"/>
        <v>1296074.871031397</v>
      </c>
      <c r="E31" s="606">
        <f t="shared" si="1"/>
        <v>143545.69928900898</v>
      </c>
      <c r="F31" s="606">
        <f t="shared" si="1"/>
        <v>1166641.6998467632</v>
      </c>
      <c r="G31" s="606">
        <f t="shared" si="1"/>
        <v>644825.57334315497</v>
      </c>
      <c r="H31" s="606">
        <f t="shared" si="1"/>
        <v>1161637.0570956962</v>
      </c>
      <c r="I31" s="606">
        <f t="shared" si="1"/>
        <v>555034.52372435294</v>
      </c>
      <c r="J31" s="606">
        <f t="shared" si="1"/>
        <v>925818.60769390035</v>
      </c>
      <c r="K31" s="606">
        <f t="shared" si="1"/>
        <v>1177174.980148809</v>
      </c>
      <c r="L31" s="606">
        <f t="shared" si="1"/>
        <v>465455.68587721232</v>
      </c>
      <c r="M31" s="606">
        <f t="shared" si="1"/>
        <v>1049374.4495901763</v>
      </c>
      <c r="N31" s="606">
        <f t="shared" si="1"/>
        <v>2498072.1818798622</v>
      </c>
      <c r="O31" s="606">
        <f t="shared" si="1"/>
        <v>11603976.984999999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T39"/>
  <sheetViews>
    <sheetView workbookViewId="0">
      <selection sqref="A1:O1"/>
    </sheetView>
  </sheetViews>
  <sheetFormatPr baseColWidth="10" defaultRowHeight="12.75" x14ac:dyDescent="0.2"/>
  <cols>
    <col min="1" max="1" width="16.42578125" style="597" bestFit="1" customWidth="1"/>
    <col min="2" max="2" width="9.140625" style="597" hidden="1" customWidth="1"/>
    <col min="3" max="10" width="9.7109375" style="597" customWidth="1"/>
    <col min="11" max="11" width="10.5703125" style="597" customWidth="1"/>
    <col min="12" max="14" width="9.7109375" style="597" customWidth="1"/>
    <col min="15" max="15" width="10.85546875" style="597" bestFit="1" customWidth="1"/>
    <col min="16" max="16" width="12.7109375" style="597" bestFit="1" customWidth="1"/>
    <col min="17" max="19" width="11.42578125" style="597"/>
    <col min="20" max="20" width="11.7109375" style="597" bestFit="1" customWidth="1"/>
    <col min="21" max="16384" width="11.42578125" style="597"/>
  </cols>
  <sheetData>
    <row r="1" spans="1:17" x14ac:dyDescent="0.2">
      <c r="A1" s="1255" t="s">
        <v>481</v>
      </c>
      <c r="B1" s="1255"/>
      <c r="C1" s="1255"/>
      <c r="D1" s="1255"/>
      <c r="E1" s="1255"/>
      <c r="F1" s="1255"/>
      <c r="G1" s="1255"/>
      <c r="H1" s="1255"/>
      <c r="I1" s="1255"/>
      <c r="J1" s="1255"/>
      <c r="K1" s="1255"/>
      <c r="L1" s="1255"/>
      <c r="M1" s="1255"/>
      <c r="N1" s="1255"/>
      <c r="O1" s="1255"/>
    </row>
    <row r="2" spans="1:17" ht="13.5" thickBot="1" x14ac:dyDescent="0.25"/>
    <row r="3" spans="1:17" ht="34.5" thickBot="1" x14ac:dyDescent="0.25">
      <c r="A3" s="893" t="s">
        <v>430</v>
      </c>
      <c r="B3" s="894" t="s">
        <v>281</v>
      </c>
      <c r="C3" s="893" t="s">
        <v>1</v>
      </c>
      <c r="D3" s="895" t="s">
        <v>2</v>
      </c>
      <c r="E3" s="893" t="s">
        <v>3</v>
      </c>
      <c r="F3" s="895" t="s">
        <v>4</v>
      </c>
      <c r="G3" s="893" t="s">
        <v>5</v>
      </c>
      <c r="H3" s="893" t="s">
        <v>6</v>
      </c>
      <c r="I3" s="893" t="s">
        <v>7</v>
      </c>
      <c r="J3" s="895" t="s">
        <v>8</v>
      </c>
      <c r="K3" s="893" t="s">
        <v>9</v>
      </c>
      <c r="L3" s="895" t="s">
        <v>10</v>
      </c>
      <c r="M3" s="893" t="s">
        <v>11</v>
      </c>
      <c r="N3" s="893" t="s">
        <v>12</v>
      </c>
      <c r="O3" s="896" t="s">
        <v>168</v>
      </c>
    </row>
    <row r="4" spans="1:17" x14ac:dyDescent="0.2">
      <c r="A4" s="602" t="s">
        <v>282</v>
      </c>
      <c r="B4" s="622"/>
      <c r="C4" s="604">
        <f>F.G.P.INCREMENTO!C7+'F.G.P. ESTIMACIONES 2014'!C7</f>
        <v>5053889.750167042</v>
      </c>
      <c r="D4" s="604">
        <f>F.G.P.INCREMENTO!D7+'F.G.P. ESTIMACIONES 2014'!D7</f>
        <v>7182771.0635594549</v>
      </c>
      <c r="E4" s="604">
        <f>F.G.P.INCREMENTO!E7+'F.G.P. ESTIMACIONES 2014'!E7</f>
        <v>4456596.8988745185</v>
      </c>
      <c r="F4" s="604">
        <f>F.G.P.INCREMENTO!F7+'F.G.P. ESTIMACIONES 2014'!F7</f>
        <v>5724913.004012038</v>
      </c>
      <c r="G4" s="604">
        <f>F.G.P.INCREMENTO!G7+'F.G.P. ESTIMACIONES 2014'!G7</f>
        <v>6113551.5485483482</v>
      </c>
      <c r="H4" s="604">
        <f>F.G.P.INCREMENTO!H7+'F.G.P. ESTIMACIONES 2014'!H7</f>
        <v>5777350.8402933953</v>
      </c>
      <c r="I4" s="604">
        <f>F.G.P.INCREMENTO!I7+'F.G.P. ESTIMACIONES 2014'!I7</f>
        <v>4943055.1814260706</v>
      </c>
      <c r="J4" s="604">
        <f>F.G.P.INCREMENTO!J7+'F.G.P. ESTIMACIONES 2014'!J7</f>
        <v>5157809.9334035367</v>
      </c>
      <c r="K4" s="604">
        <f>F.G.P.INCREMENTO!K7+'F.G.P. ESTIMACIONES 2014'!K7</f>
        <v>4771805.5042011943</v>
      </c>
      <c r="L4" s="604">
        <f>F.G.P.INCREMENTO!L7+'F.G.P. ESTIMACIONES 2014'!L7</f>
        <v>3308973.1779294116</v>
      </c>
      <c r="M4" s="604">
        <f>F.G.P.INCREMENTO!M7+'F.G.P. ESTIMACIONES 2014'!M7</f>
        <v>4617278.7001802931</v>
      </c>
      <c r="N4" s="604">
        <f>F.G.P.INCREMENTO!N7+'F.G.P. ESTIMACIONES 2014'!N7</f>
        <v>4776097.5133283474</v>
      </c>
      <c r="O4" s="605">
        <f>SUM(C4:N4)</f>
        <v>61884093.115923643</v>
      </c>
      <c r="P4" s="606"/>
      <c r="Q4" s="606"/>
    </row>
    <row r="5" spans="1:17" x14ac:dyDescent="0.2">
      <c r="A5" s="602" t="s">
        <v>147</v>
      </c>
      <c r="B5" s="622"/>
      <c r="C5" s="604">
        <f>F.G.P.INCREMENTO!C8+'F.G.P. ESTIMACIONES 2014'!C8</f>
        <v>3791989.6796168154</v>
      </c>
      <c r="D5" s="604">
        <f>F.G.P.INCREMENTO!D8+'F.G.P. ESTIMACIONES 2014'!D8</f>
        <v>5501453.276072301</v>
      </c>
      <c r="E5" s="604">
        <f>F.G.P.INCREMENTO!E8+'F.G.P. ESTIMACIONES 2014'!E8</f>
        <v>3301007.0062230472</v>
      </c>
      <c r="F5" s="604">
        <f>F.G.P.INCREMENTO!F8+'F.G.P. ESTIMACIONES 2014'!F8</f>
        <v>4321131.0035514813</v>
      </c>
      <c r="G5" s="604">
        <f>F.G.P.INCREMENTO!G8+'F.G.P. ESTIMACIONES 2014'!G8</f>
        <v>4722661.1947358046</v>
      </c>
      <c r="H5" s="604">
        <f>F.G.P.INCREMENTO!H8+'F.G.P. ESTIMACIONES 2014'!H8</f>
        <v>4456792.2397673521</v>
      </c>
      <c r="I5" s="604">
        <f>F.G.P.INCREMENTO!I8+'F.G.P. ESTIMACIONES 2014'!I8</f>
        <v>3657644.3951031594</v>
      </c>
      <c r="J5" s="604">
        <f>F.G.P.INCREMENTO!J8+'F.G.P. ESTIMACIONES 2014'!J8</f>
        <v>3907079.9701326038</v>
      </c>
      <c r="K5" s="604">
        <f>F.G.P.INCREMENTO!K8+'F.G.P. ESTIMACIONES 2014'!K8</f>
        <v>3533845.8690436147</v>
      </c>
      <c r="L5" s="604">
        <f>F.G.P.INCREMENTO!L8+'F.G.P. ESTIMACIONES 2014'!L8</f>
        <v>2234664.9064740278</v>
      </c>
      <c r="M5" s="604">
        <f>F.G.P.INCREMENTO!M8+'F.G.P. ESTIMACIONES 2014'!M8</f>
        <v>3453015.0043126019</v>
      </c>
      <c r="N5" s="604">
        <f>F.G.P.INCREMENTO!N8+'F.G.P. ESTIMACIONES 2014'!N8</f>
        <v>3534923.2451338661</v>
      </c>
      <c r="O5" s="605">
        <f t="shared" ref="O5:O23" si="0">SUM(C5:N5)</f>
        <v>46416207.790166669</v>
      </c>
      <c r="P5" s="606"/>
      <c r="Q5" s="606"/>
    </row>
    <row r="6" spans="1:17" x14ac:dyDescent="0.2">
      <c r="A6" s="602" t="s">
        <v>148</v>
      </c>
      <c r="B6" s="622"/>
      <c r="C6" s="604">
        <f>F.G.P.INCREMENTO!C9+'F.G.P. ESTIMACIONES 2014'!C9</f>
        <v>3399742.1616395516</v>
      </c>
      <c r="D6" s="604">
        <f>F.G.P.INCREMENTO!D9+'F.G.P. ESTIMACIONES 2014'!D9</f>
        <v>4879753.0148611665</v>
      </c>
      <c r="E6" s="604">
        <f>F.G.P.INCREMENTO!E9+'F.G.P. ESTIMACIONES 2014'!E9</f>
        <v>2979644.7564242417</v>
      </c>
      <c r="F6" s="604">
        <f>F.G.P.INCREMENTO!F9+'F.G.P. ESTIMACIONES 2014'!F9</f>
        <v>3862104.6859374307</v>
      </c>
      <c r="G6" s="604">
        <f>F.G.P.INCREMENTO!G9+'F.G.P. ESTIMACIONES 2014'!G9</f>
        <v>4170513.2213267302</v>
      </c>
      <c r="H6" s="604">
        <f>F.G.P.INCREMENTO!H9+'F.G.P. ESTIMACIONES 2014'!H9</f>
        <v>3938534.5878498219</v>
      </c>
      <c r="I6" s="604">
        <f>F.G.P.INCREMENTO!I9+'F.G.P. ESTIMACIONES 2014'!I9</f>
        <v>3303313.1849116487</v>
      </c>
      <c r="J6" s="604">
        <f>F.G.P.INCREMENTO!J9+'F.G.P. ESTIMACIONES 2014'!J9</f>
        <v>3485509.1370125255</v>
      </c>
      <c r="K6" s="604">
        <f>F.G.P.INCREMENTO!K9+'F.G.P. ESTIMACIONES 2014'!K9</f>
        <v>3190118.6960675195</v>
      </c>
      <c r="L6" s="604">
        <f>F.G.P.INCREMENTO!L9+'F.G.P. ESTIMACIONES 2014'!L9</f>
        <v>2119931.8438222017</v>
      </c>
      <c r="M6" s="604">
        <f>F.G.P.INCREMENTO!M9+'F.G.P. ESTIMACIONES 2014'!M9</f>
        <v>3101171.9351821477</v>
      </c>
      <c r="N6" s="604">
        <f>F.G.P.INCREMENTO!N9+'F.G.P. ESTIMACIONES 2014'!N9</f>
        <v>3192090.2552192276</v>
      </c>
      <c r="O6" s="605">
        <f t="shared" si="0"/>
        <v>41622427.480254218</v>
      </c>
      <c r="P6" s="606"/>
      <c r="Q6" s="606"/>
    </row>
    <row r="7" spans="1:17" x14ac:dyDescent="0.2">
      <c r="A7" s="602" t="s">
        <v>283</v>
      </c>
      <c r="B7" s="622"/>
      <c r="C7" s="604">
        <f>F.G.P.INCREMENTO!C10+'F.G.P. ESTIMACIONES 2014'!C10</f>
        <v>8435509.428258324</v>
      </c>
      <c r="D7" s="604">
        <f>F.G.P.INCREMENTO!D10+'F.G.P. ESTIMACIONES 2014'!D10</f>
        <v>13461503.161664564</v>
      </c>
      <c r="E7" s="604">
        <f>F.G.P.INCREMENTO!E10+'F.G.P. ESTIMACIONES 2014'!E10</f>
        <v>6876143.9154956611</v>
      </c>
      <c r="F7" s="604">
        <f>F.G.P.INCREMENTO!F10+'F.G.P. ESTIMACIONES 2014'!F10</f>
        <v>9892562.7530945726</v>
      </c>
      <c r="G7" s="604">
        <f>F.G.P.INCREMENTO!G10+'F.G.P. ESTIMACIONES 2014'!G10</f>
        <v>11984874.9496263</v>
      </c>
      <c r="H7" s="604">
        <f>F.G.P.INCREMENTO!H10+'F.G.P. ESTIMACIONES 2014'!H10</f>
        <v>11244938.347555319</v>
      </c>
      <c r="I7" s="604">
        <f>F.G.P.INCREMENTO!I10+'F.G.P. ESTIMACIONES 2014'!I10</f>
        <v>7578342.567237962</v>
      </c>
      <c r="J7" s="604">
        <f>F.G.P.INCREMENTO!J10+'F.G.P. ESTIMACIONES 2014'!J10</f>
        <v>9096403.6277975161</v>
      </c>
      <c r="K7" s="604">
        <f>F.G.P.INCREMENTO!K10+'F.G.P. ESTIMACIONES 2014'!K10</f>
        <v>7354124.1945064999</v>
      </c>
      <c r="L7" s="604">
        <f>F.G.P.INCREMENTO!L10+'F.G.P. ESTIMACIONES 2014'!L10</f>
        <v>2265014.3242041706</v>
      </c>
      <c r="M7" s="604">
        <f>F.G.P.INCREMENTO!M10+'F.G.P. ESTIMACIONES 2014'!M10</f>
        <v>7557304.580158636</v>
      </c>
      <c r="N7" s="604">
        <f>F.G.P.INCREMENTO!N10+'F.G.P. ESTIMACIONES 2014'!N10</f>
        <v>7333146.1173935952</v>
      </c>
      <c r="O7" s="605">
        <f t="shared" si="0"/>
        <v>103079867.96699312</v>
      </c>
      <c r="P7" s="606"/>
      <c r="Q7" s="606"/>
    </row>
    <row r="8" spans="1:17" x14ac:dyDescent="0.2">
      <c r="A8" s="602" t="s">
        <v>150</v>
      </c>
      <c r="B8" s="622"/>
      <c r="C8" s="604">
        <f>F.G.P.INCREMENTO!C11+'F.G.P. ESTIMACIONES 2014'!C11</f>
        <v>7330927.4462480824</v>
      </c>
      <c r="D8" s="604">
        <f>F.G.P.INCREMENTO!D11+'F.G.P. ESTIMACIONES 2014'!D11</f>
        <v>10697362.257193612</v>
      </c>
      <c r="E8" s="604">
        <f>F.G.P.INCREMENTO!E11+'F.G.P. ESTIMACIONES 2014'!E11</f>
        <v>6358206.9345319327</v>
      </c>
      <c r="F8" s="604">
        <f>F.G.P.INCREMENTO!F11+'F.G.P. ESTIMACIONES 2014'!F11</f>
        <v>8367993.6480771843</v>
      </c>
      <c r="G8" s="604">
        <f>F.G.P.INCREMENTO!G11+'F.G.P. ESTIMACIONES 2014'!G11</f>
        <v>9204630.690317953</v>
      </c>
      <c r="H8" s="604">
        <f>F.G.P.INCREMENTO!H11+'F.G.P. ESTIMACIONES 2014'!H11</f>
        <v>8683158.5824614055</v>
      </c>
      <c r="I8" s="604">
        <f>F.G.P.INCREMENTO!I11+'F.G.P. ESTIMACIONES 2014'!I11</f>
        <v>7043092.2239342863</v>
      </c>
      <c r="J8" s="604">
        <f>F.G.P.INCREMENTO!J11+'F.G.P. ESTIMACIONES 2014'!J11</f>
        <v>7573812.2175689721</v>
      </c>
      <c r="K8" s="604">
        <f>F.G.P.INCREMENTO!K11+'F.G.P. ESTIMACIONES 2014'!K11</f>
        <v>6806333.4347733716</v>
      </c>
      <c r="L8" s="604">
        <f>F.G.P.INCREMENTO!L11+'F.G.P. ESTIMACIONES 2014'!L11</f>
        <v>4183953.584743856</v>
      </c>
      <c r="M8" s="604">
        <f>F.G.P.INCREMENTO!M11+'F.G.P. ESTIMACIONES 2014'!M11</f>
        <v>6669348.9633183088</v>
      </c>
      <c r="N8" s="604">
        <f>F.G.P.INCREMENTO!N11+'F.G.P. ESTIMACIONES 2014'!N11</f>
        <v>6807239.4057311602</v>
      </c>
      <c r="O8" s="605">
        <f t="shared" si="0"/>
        <v>89726059.388900116</v>
      </c>
      <c r="P8" s="606"/>
      <c r="Q8" s="606"/>
    </row>
    <row r="9" spans="1:17" x14ac:dyDescent="0.2">
      <c r="A9" s="602" t="s">
        <v>284</v>
      </c>
      <c r="B9" s="622"/>
      <c r="C9" s="604">
        <f>F.G.P.INCREMENTO!C12+'F.G.P. ESTIMACIONES 2014'!C12</f>
        <v>3800124.4512669658</v>
      </c>
      <c r="D9" s="604">
        <f>F.G.P.INCREMENTO!D12+'F.G.P. ESTIMACIONES 2014'!D12</f>
        <v>5957621.8115850752</v>
      </c>
      <c r="E9" s="604">
        <f>F.G.P.INCREMENTO!E12+'F.G.P. ESTIMACIONES 2014'!E12</f>
        <v>3138381.6097623906</v>
      </c>
      <c r="F9" s="604">
        <f>F.G.P.INCREMENTO!F12+'F.G.P. ESTIMACIONES 2014'!F12</f>
        <v>4432101.3824085323</v>
      </c>
      <c r="G9" s="604">
        <f>F.G.P.INCREMENTO!G12+'F.G.P. ESTIMACIONES 2014'!G12</f>
        <v>5270102.5357712843</v>
      </c>
      <c r="H9" s="604">
        <f>F.G.P.INCREMENTO!H12+'F.G.P. ESTIMACIONES 2014'!H12</f>
        <v>4949717.1445608884</v>
      </c>
      <c r="I9" s="604">
        <f>F.G.P.INCREMENTO!I12+'F.G.P. ESTIMACIONES 2014'!I12</f>
        <v>3462666.01061338</v>
      </c>
      <c r="J9" s="604">
        <f>F.G.P.INCREMENTO!J12+'F.G.P. ESTIMACIONES 2014'!J12</f>
        <v>4062544.5486616958</v>
      </c>
      <c r="K9" s="604">
        <f>F.G.P.INCREMENTO!K12+'F.G.P. ESTIMACIONES 2014'!K12</f>
        <v>3357194.4472278878</v>
      </c>
      <c r="L9" s="604">
        <f>F.G.P.INCREMENTO!L12+'F.G.P. ESTIMACIONES 2014'!L12</f>
        <v>1256360.8325464739</v>
      </c>
      <c r="M9" s="604">
        <f>F.G.P.INCREMENTO!M12+'F.G.P. ESTIMACIONES 2014'!M12</f>
        <v>3415326.0774089936</v>
      </c>
      <c r="N9" s="604">
        <f>F.G.P.INCREMENTO!N12+'F.G.P. ESTIMACIONES 2014'!N12</f>
        <v>3349782.4269598136</v>
      </c>
      <c r="O9" s="605">
        <f t="shared" si="0"/>
        <v>46451923.278773375</v>
      </c>
      <c r="P9" s="606"/>
      <c r="Q9" s="606"/>
    </row>
    <row r="10" spans="1:17" x14ac:dyDescent="0.2">
      <c r="A10" s="602" t="s">
        <v>152</v>
      </c>
      <c r="B10" s="622"/>
      <c r="C10" s="604">
        <f>F.G.P.INCREMENTO!C13+'F.G.P. ESTIMACIONES 2014'!C13</f>
        <v>2859170.1080700168</v>
      </c>
      <c r="D10" s="604">
        <f>F.G.P.INCREMENTO!D13+'F.G.P. ESTIMACIONES 2014'!D13</f>
        <v>4299552.3383250916</v>
      </c>
      <c r="E10" s="604">
        <f>F.G.P.INCREMENTO!E13+'F.G.P. ESTIMACIONES 2014'!E13</f>
        <v>2431130.9808097179</v>
      </c>
      <c r="F10" s="604">
        <f>F.G.P.INCREMENTO!F13+'F.G.P. ESTIMACIONES 2014'!F13</f>
        <v>3292804.0469575096</v>
      </c>
      <c r="G10" s="604">
        <f>F.G.P.INCREMENTO!G13+'F.G.P. ESTIMACIONES 2014'!G13</f>
        <v>3744016.6665646294</v>
      </c>
      <c r="H10" s="604">
        <f>F.G.P.INCREMENTO!H13+'F.G.P. ESTIMACIONES 2014'!H13</f>
        <v>3525165.7013261449</v>
      </c>
      <c r="I10" s="604">
        <f>F.G.P.INCREMENTO!I13+'F.G.P. ESTIMACIONES 2014'!I13</f>
        <v>2688749.7087181462</v>
      </c>
      <c r="J10" s="604">
        <f>F.G.P.INCREMENTO!J13+'F.G.P. ESTIMACIONES 2014'!J13</f>
        <v>2996075.0395762706</v>
      </c>
      <c r="K10" s="604">
        <f>F.G.P.INCREMENTO!K13+'F.G.P. ESTIMACIONES 2014'!K13</f>
        <v>2601741.7234775554</v>
      </c>
      <c r="L10" s="604">
        <f>F.G.P.INCREMENTO!L13+'F.G.P. ESTIMACIONES 2014'!L13</f>
        <v>1349898.7142669149</v>
      </c>
      <c r="M10" s="604">
        <f>F.G.P.INCREMENTO!M13+'F.G.P. ESTIMACIONES 2014'!M13</f>
        <v>2588213.2136840774</v>
      </c>
      <c r="N10" s="604">
        <f>F.G.P.INCREMENTO!N13+'F.G.P. ESTIMACIONES 2014'!N13</f>
        <v>2599660.0536785214</v>
      </c>
      <c r="O10" s="605">
        <f t="shared" si="0"/>
        <v>34976178.295454592</v>
      </c>
      <c r="P10" s="606"/>
      <c r="Q10" s="606"/>
    </row>
    <row r="11" spans="1:17" x14ac:dyDescent="0.2">
      <c r="A11" s="602" t="s">
        <v>153</v>
      </c>
      <c r="B11" s="622"/>
      <c r="C11" s="604">
        <f>F.G.P.INCREMENTO!C14+'F.G.P. ESTIMACIONES 2014'!C14</f>
        <v>4421854.8157905918</v>
      </c>
      <c r="D11" s="604">
        <f>F.G.P.INCREMENTO!D14+'F.G.P. ESTIMACIONES 2014'!D14</f>
        <v>6287819.8056879565</v>
      </c>
      <c r="E11" s="604">
        <f>F.G.P.INCREMENTO!E14+'F.G.P. ESTIMACIONES 2014'!E14</f>
        <v>3897991.0676747067</v>
      </c>
      <c r="F11" s="604">
        <f>F.G.P.INCREMENTO!F14+'F.G.P. ESTIMACIONES 2014'!F14</f>
        <v>5009720.26161962</v>
      </c>
      <c r="G11" s="604">
        <f>F.G.P.INCREMENTO!G14+'F.G.P. ESTIMACIONES 2014'!G14</f>
        <v>5353010.268260302</v>
      </c>
      <c r="H11" s="604">
        <f>F.G.P.INCREMENTO!H14+'F.G.P. ESTIMACIONES 2014'!H14</f>
        <v>5058451.5121690696</v>
      </c>
      <c r="I11" s="604">
        <f>F.G.P.INCREMENTO!I14+'F.G.P. ESTIMACIONES 2014'!I14</f>
        <v>4323365.9015027322</v>
      </c>
      <c r="J11" s="604">
        <f>F.G.P.INCREMENTO!J14+'F.G.P. ESTIMACIONES 2014'!J14</f>
        <v>4513877.6267139735</v>
      </c>
      <c r="K11" s="604">
        <f>F.G.P.INCREMENTO!K14+'F.G.P. ESTIMACIONES 2014'!K14</f>
        <v>4173671.452678456</v>
      </c>
      <c r="L11" s="604">
        <f>F.G.P.INCREMENTO!L14+'F.G.P. ESTIMACIONES 2014'!L14</f>
        <v>2887811.6496519237</v>
      </c>
      <c r="M11" s="604">
        <f>F.G.P.INCREMENTO!M14+'F.G.P. ESTIMACIONES 2014'!M14</f>
        <v>4039509.0568458196</v>
      </c>
      <c r="N11" s="604">
        <f>F.G.P.INCREMENTO!N14+'F.G.P. ESTIMACIONES 2014'!N14</f>
        <v>4177363.2691000411</v>
      </c>
      <c r="O11" s="605">
        <f t="shared" si="0"/>
        <v>54144446.68769519</v>
      </c>
      <c r="P11" s="606"/>
      <c r="Q11" s="606"/>
    </row>
    <row r="12" spans="1:17" x14ac:dyDescent="0.2">
      <c r="A12" s="602" t="s">
        <v>154</v>
      </c>
      <c r="B12" s="622"/>
      <c r="C12" s="604">
        <f>F.G.P.INCREMENTO!C15+'F.G.P. ESTIMACIONES 2014'!C15</f>
        <v>4103700.5082108695</v>
      </c>
      <c r="D12" s="604">
        <f>F.G.P.INCREMENTO!D15+'F.G.P. ESTIMACIONES 2014'!D15</f>
        <v>5891284.3711416218</v>
      </c>
      <c r="E12" s="604">
        <f>F.G.P.INCREMENTO!E15+'F.G.P. ESTIMACIONES 2014'!E15</f>
        <v>3596189.5786424545</v>
      </c>
      <c r="F12" s="604">
        <f>F.G.P.INCREMENTO!F15+'F.G.P. ESTIMACIONES 2014'!F15</f>
        <v>4662056.8773173438</v>
      </c>
      <c r="G12" s="604">
        <f>F.G.P.INCREMENTO!G15+'F.G.P. ESTIMACIONES 2014'!G15</f>
        <v>5035421.7373159509</v>
      </c>
      <c r="H12" s="604">
        <f>F.G.P.INCREMENTO!H15+'F.G.P. ESTIMACIONES 2014'!H15</f>
        <v>4755273.2827961296</v>
      </c>
      <c r="I12" s="604">
        <f>F.G.P.INCREMENTO!I15+'F.G.P. ESTIMACIONES 2014'!I15</f>
        <v>3986794.1608254099</v>
      </c>
      <c r="J12" s="604">
        <f>F.G.P.INCREMENTO!J15+'F.G.P. ESTIMACIONES 2014'!J15</f>
        <v>4207596.837611353</v>
      </c>
      <c r="K12" s="604">
        <f>F.G.P.INCREMENTO!K15+'F.G.P. ESTIMACIONES 2014'!K15</f>
        <v>3850208.1662461497</v>
      </c>
      <c r="L12" s="604">
        <f>F.G.P.INCREMENTO!L15+'F.G.P. ESTIMACIONES 2014'!L15</f>
        <v>2556415.0206594095</v>
      </c>
      <c r="M12" s="604">
        <f>F.G.P.INCREMENTO!M15+'F.G.P. ESTIMACIONES 2014'!M15</f>
        <v>3743194.1308160089</v>
      </c>
      <c r="N12" s="604">
        <f>F.G.P.INCREMENTO!N15+'F.G.P. ESTIMACIONES 2014'!N15</f>
        <v>3852566.5849087499</v>
      </c>
      <c r="O12" s="605">
        <f t="shared" si="0"/>
        <v>50240701.256491452</v>
      </c>
      <c r="P12" s="606"/>
      <c r="Q12" s="606"/>
    </row>
    <row r="13" spans="1:17" x14ac:dyDescent="0.2">
      <c r="A13" s="602" t="s">
        <v>155</v>
      </c>
      <c r="B13" s="622"/>
      <c r="C13" s="604">
        <f>F.G.P.INCREMENTO!C16+'F.G.P. ESTIMACIONES 2014'!C16</f>
        <v>2953583.0664988728</v>
      </c>
      <c r="D13" s="604">
        <f>F.G.P.INCREMENTO!D16+'F.G.P. ESTIMACIONES 2014'!D16</f>
        <v>4432653.8590985537</v>
      </c>
      <c r="E13" s="604">
        <f>F.G.P.INCREMENTO!E16+'F.G.P. ESTIMACIONES 2014'!E16</f>
        <v>2514798.8330652313</v>
      </c>
      <c r="F13" s="604">
        <f>F.G.P.INCREMENTO!F16+'F.G.P. ESTIMACIONES 2014'!F16</f>
        <v>3399505.0158048533</v>
      </c>
      <c r="G13" s="604">
        <f>F.G.P.INCREMENTO!G16+'F.G.P. ESTIMACIONES 2014'!G16</f>
        <v>3856917.6087690769</v>
      </c>
      <c r="H13" s="604">
        <f>F.G.P.INCREMENTO!H16+'F.G.P. ESTIMACIONES 2014'!H16</f>
        <v>3631917.3007533578</v>
      </c>
      <c r="I13" s="604">
        <f>F.G.P.INCREMENTO!I16+'F.G.P. ESTIMACIONES 2014'!I16</f>
        <v>2781585.8176593473</v>
      </c>
      <c r="J13" s="604">
        <f>F.G.P.INCREMENTO!J16+'F.G.P. ESTIMACIONES 2014'!J16</f>
        <v>3092071.3549571983</v>
      </c>
      <c r="K13" s="604">
        <f>F.G.P.INCREMENTO!K16+'F.G.P. ESTIMACIONES 2014'!K16</f>
        <v>2691333.420575642</v>
      </c>
      <c r="L13" s="604">
        <f>F.G.P.INCREMENTO!L16+'F.G.P. ESTIMACIONES 2014'!L16</f>
        <v>1414107.3290427634</v>
      </c>
      <c r="M13" s="604">
        <f>F.G.P.INCREMENTO!M16+'F.G.P. ESTIMACIONES 2014'!M16</f>
        <v>2674579.4990713713</v>
      </c>
      <c r="N13" s="604">
        <f>F.G.P.INCREMENTO!N16+'F.G.P. ESTIMACIONES 2014'!N16</f>
        <v>2689352.5997740505</v>
      </c>
      <c r="O13" s="605">
        <f t="shared" si="0"/>
        <v>36132405.705070317</v>
      </c>
      <c r="P13" s="606"/>
      <c r="Q13" s="606"/>
    </row>
    <row r="14" spans="1:17" x14ac:dyDescent="0.2">
      <c r="A14" s="602" t="s">
        <v>156</v>
      </c>
      <c r="B14" s="622"/>
      <c r="C14" s="604">
        <f>F.G.P.INCREMENTO!C17+'F.G.P. ESTIMACIONES 2014'!C17</f>
        <v>4356284.8973621232</v>
      </c>
      <c r="D14" s="604">
        <f>F.G.P.INCREMENTO!D17+'F.G.P. ESTIMACIONES 2014'!D17</f>
        <v>6319029.278341502</v>
      </c>
      <c r="E14" s="604">
        <f>F.G.P.INCREMENTO!E17+'F.G.P. ESTIMACIONES 2014'!E17</f>
        <v>3792661.3007035656</v>
      </c>
      <c r="F14" s="604">
        <f>F.G.P.INCREMENTO!F17+'F.G.P. ESTIMACIONES 2014'!F17</f>
        <v>4963915.2963649724</v>
      </c>
      <c r="G14" s="604">
        <f>F.G.P.INCREMENTO!G17+'F.G.P. ESTIMACIONES 2014'!G17</f>
        <v>5424111.3650495373</v>
      </c>
      <c r="H14" s="604">
        <f>F.G.P.INCREMENTO!H17+'F.G.P. ESTIMACIONES 2014'!H17</f>
        <v>5118812.3942740895</v>
      </c>
      <c r="I14" s="604">
        <f>F.G.P.INCREMENTO!I17+'F.G.P. ESTIMACIONES 2014'!I17</f>
        <v>4202453.3945264891</v>
      </c>
      <c r="J14" s="604">
        <f>F.G.P.INCREMENTO!J17+'F.G.P. ESTIMACIONES 2014'!J17</f>
        <v>4488135.095200493</v>
      </c>
      <c r="K14" s="604">
        <f>F.G.P.INCREMENTO!K17+'F.G.P. ESTIMACIONES 2014'!K17</f>
        <v>4060185.7215808397</v>
      </c>
      <c r="L14" s="604">
        <f>F.G.P.INCREMENTO!L17+'F.G.P. ESTIMACIONES 2014'!L17</f>
        <v>2569663.5765411756</v>
      </c>
      <c r="M14" s="604">
        <f>F.G.P.INCREMENTO!M17+'F.G.P. ESTIMACIONES 2014'!M17</f>
        <v>3966979.0870934036</v>
      </c>
      <c r="N14" s="604">
        <f>F.G.P.INCREMENTO!N17+'F.G.P. ESTIMACIONES 2014'!N17</f>
        <v>4061444.6107017444</v>
      </c>
      <c r="O14" s="605">
        <f t="shared" si="0"/>
        <v>53323676.017739944</v>
      </c>
      <c r="P14" s="606"/>
      <c r="Q14" s="606"/>
    </row>
    <row r="15" spans="1:17" x14ac:dyDescent="0.2">
      <c r="A15" s="602" t="s">
        <v>157</v>
      </c>
      <c r="B15" s="622"/>
      <c r="C15" s="604">
        <f>F.G.P.INCREMENTO!C18+'F.G.P. ESTIMACIONES 2014'!C18</f>
        <v>4393883.3140939865</v>
      </c>
      <c r="D15" s="604">
        <f>F.G.P.INCREMENTO!D18+'F.G.P. ESTIMACIONES 2014'!D18</f>
        <v>6161481.5769494865</v>
      </c>
      <c r="E15" s="604">
        <f>F.G.P.INCREMENTO!E18+'F.G.P. ESTIMACIONES 2014'!E18</f>
        <v>3906392.4908336047</v>
      </c>
      <c r="F15" s="604">
        <f>F.G.P.INCREMENTO!F18+'F.G.P. ESTIMACIONES 2014'!F18</f>
        <v>4958218.7069985792</v>
      </c>
      <c r="G15" s="604">
        <f>F.G.P.INCREMENTO!G18+'F.G.P. ESTIMACIONES 2014'!G18</f>
        <v>5214479.8970359173</v>
      </c>
      <c r="H15" s="604">
        <f>F.G.P.INCREMENTO!H18+'F.G.P. ESTIMACIONES 2014'!H18</f>
        <v>4932293.2022241</v>
      </c>
      <c r="I15" s="604">
        <f>F.G.P.INCREMENTO!I18+'F.G.P. ESTIMACIONES 2014'!I18</f>
        <v>4335527.9519009171</v>
      </c>
      <c r="J15" s="604">
        <f>F.G.P.INCREMENTO!J18+'F.G.P. ESTIMACIONES 2014'!J18</f>
        <v>4456672.0906162849</v>
      </c>
      <c r="K15" s="604">
        <f>F.G.P.INCREMENTO!K18+'F.G.P. ESTIMACIONES 2014'!K18</f>
        <v>4183158.5823919508</v>
      </c>
      <c r="L15" s="604">
        <f>F.G.P.INCREMENTO!L18+'F.G.P. ESTIMACIONES 2014'!L18</f>
        <v>3061052.7395813484</v>
      </c>
      <c r="M15" s="604">
        <f>F.G.P.INCREMENTO!M18+'F.G.P. ESTIMACIONES 2014'!M18</f>
        <v>4022741.0280147083</v>
      </c>
      <c r="N15" s="604">
        <f>F.G.P.INCREMENTO!N18+'F.G.P. ESTIMACIONES 2014'!N18</f>
        <v>4188481.2398778191</v>
      </c>
      <c r="O15" s="605">
        <f t="shared" si="0"/>
        <v>53814382.820518702</v>
      </c>
      <c r="P15" s="606"/>
      <c r="Q15" s="606"/>
    </row>
    <row r="16" spans="1:17" x14ac:dyDescent="0.2">
      <c r="A16" s="602" t="s">
        <v>158</v>
      </c>
      <c r="B16" s="622"/>
      <c r="C16" s="604">
        <f>F.G.P.INCREMENTO!C19+'F.G.P. ESTIMACIONES 2014'!C19</f>
        <v>6095440.3071379699</v>
      </c>
      <c r="D16" s="604">
        <f>F.G.P.INCREMENTO!D19+'F.G.P. ESTIMACIONES 2014'!D19</f>
        <v>8515458.2833318785</v>
      </c>
      <c r="E16" s="604">
        <f>F.G.P.INCREMENTO!E19+'F.G.P. ESTIMACIONES 2014'!E19</f>
        <v>5431422.3860341106</v>
      </c>
      <c r="F16" s="604">
        <f>F.G.P.INCREMENTO!F19+'F.G.P. ESTIMACIONES 2014'!F19</f>
        <v>6870972.8670304148</v>
      </c>
      <c r="G16" s="604">
        <f>F.G.P.INCREMENTO!G19+'F.G.P. ESTIMACIONES 2014'!G19</f>
        <v>7195012.1010176716</v>
      </c>
      <c r="H16" s="604">
        <f>F.G.P.INCREMENTO!H19+'F.G.P. ESTIMACIONES 2014'!H19</f>
        <v>6807443.0538149383</v>
      </c>
      <c r="I16" s="604">
        <f>F.G.P.INCREMENTO!I19+'F.G.P. ESTIMACIONES 2014'!I19</f>
        <v>6029134.9156775055</v>
      </c>
      <c r="J16" s="604">
        <f>F.G.P.INCREMENTO!J19+'F.G.P. ESTIMACIONES 2014'!J19</f>
        <v>6171921.7809135197</v>
      </c>
      <c r="K16" s="604">
        <f>F.G.P.INCREMENTO!K19+'F.G.P. ESTIMACIONES 2014'!K19</f>
        <v>5816416.826578375</v>
      </c>
      <c r="L16" s="604">
        <f>F.G.P.INCREMENTO!L19+'F.G.P. ESTIMACIONES 2014'!L19</f>
        <v>4317464.6165638994</v>
      </c>
      <c r="M16" s="604">
        <f>F.G.P.INCREMENTO!M19+'F.G.P. ESTIMACIONES 2014'!M19</f>
        <v>5583827.9624743732</v>
      </c>
      <c r="N16" s="604">
        <f>F.G.P.INCREMENTO!N19+'F.G.P. ESTIMACIONES 2014'!N19</f>
        <v>5824414.0024790661</v>
      </c>
      <c r="O16" s="605">
        <f t="shared" si="0"/>
        <v>74658929.103053719</v>
      </c>
      <c r="P16" s="606"/>
      <c r="Q16" s="606"/>
    </row>
    <row r="17" spans="1:20" x14ac:dyDescent="0.2">
      <c r="A17" s="602" t="s">
        <v>285</v>
      </c>
      <c r="B17" s="622"/>
      <c r="C17" s="604">
        <f>F.G.P.INCREMENTO!C20+'F.G.P. ESTIMACIONES 2014'!C20</f>
        <v>3289293.7395440098</v>
      </c>
      <c r="D17" s="604">
        <f>F.G.P.INCREMENTO!D20+'F.G.P. ESTIMACIONES 2014'!D20</f>
        <v>4777858.8257138152</v>
      </c>
      <c r="E17" s="604">
        <f>F.G.P.INCREMENTO!E20+'F.G.P. ESTIMACIONES 2014'!E20</f>
        <v>2861214.5361301615</v>
      </c>
      <c r="F17" s="604">
        <f>F.G.P.INCREMENTO!F20+'F.G.P. ESTIMACIONES 2014'!F20</f>
        <v>3749597.3707146952</v>
      </c>
      <c r="G17" s="604">
        <f>F.G.P.INCREMENTO!G20+'F.G.P. ESTIMACIONES 2014'!G20</f>
        <v>4103506.2287250608</v>
      </c>
      <c r="H17" s="604">
        <f>F.G.P.INCREMENTO!H20+'F.G.P. ESTIMACIONES 2014'!H20</f>
        <v>3872188.3716719472</v>
      </c>
      <c r="I17" s="604">
        <f>F.G.P.INCREMENTO!I20+'F.G.P. ESTIMACIONES 2014'!I20</f>
        <v>3170146.8616376077</v>
      </c>
      <c r="J17" s="604">
        <f>F.G.P.INCREMENTO!J20+'F.G.P. ESTIMACIONES 2014'!J20</f>
        <v>3391020.5136211971</v>
      </c>
      <c r="K17" s="604">
        <f>F.G.P.INCREMENTO!K20+'F.G.P. ESTIMACIONES 2014'!K20</f>
        <v>3062999.4277754277</v>
      </c>
      <c r="L17" s="604">
        <f>F.G.P.INCREMENTO!L20+'F.G.P. ESTIMACIONES 2014'!L20</f>
        <v>1925762.3567876085</v>
      </c>
      <c r="M17" s="604">
        <f>F.G.P.INCREMENTO!M20+'F.G.P. ESTIMACIONES 2014'!M20</f>
        <v>2994675.5727715492</v>
      </c>
      <c r="N17" s="604">
        <f>F.G.P.INCREMENTO!N20+'F.G.P. ESTIMACIONES 2014'!N20</f>
        <v>3063824.6439909441</v>
      </c>
      <c r="O17" s="605">
        <f t="shared" si="0"/>
        <v>40262088.449084021</v>
      </c>
      <c r="P17" s="606"/>
      <c r="Q17" s="606"/>
    </row>
    <row r="18" spans="1:20" x14ac:dyDescent="0.2">
      <c r="A18" s="602" t="s">
        <v>286</v>
      </c>
      <c r="B18" s="622"/>
      <c r="C18" s="604">
        <f>F.G.P.INCREMENTO!C21+'F.G.P. ESTIMACIONES 2014'!C21</f>
        <v>4206923.4868997894</v>
      </c>
      <c r="D18" s="604">
        <f>F.G.P.INCREMENTO!D21+'F.G.P. ESTIMACIONES 2014'!D21</f>
        <v>6071675.6458509527</v>
      </c>
      <c r="E18" s="604">
        <f>F.G.P.INCREMENTO!E21+'F.G.P. ESTIMACIONES 2014'!E21</f>
        <v>3674347.840667068</v>
      </c>
      <c r="F18" s="604">
        <f>F.G.P.INCREMENTO!F21+'F.G.P. ESTIMACIONES 2014'!F21</f>
        <v>4786694.9688197058</v>
      </c>
      <c r="G18" s="604">
        <f>F.G.P.INCREMENTO!G21+'F.G.P. ESTIMACIONES 2014'!G21</f>
        <v>5201020.7455072217</v>
      </c>
      <c r="H18" s="604">
        <f>F.G.P.INCREMENTO!H21+'F.G.P. ESTIMACIONES 2014'!H21</f>
        <v>4909915.9669592455</v>
      </c>
      <c r="I18" s="604">
        <f>F.G.P.INCREMENTO!I21+'F.G.P. ESTIMACIONES 2014'!I21</f>
        <v>4072377.4197959574</v>
      </c>
      <c r="J18" s="604">
        <f>F.G.P.INCREMENTO!J21+'F.G.P. ESTIMACIONES 2014'!J21</f>
        <v>4324092.5576285021</v>
      </c>
      <c r="K18" s="604">
        <f>F.G.P.INCREMENTO!K21+'F.G.P. ESTIMACIONES 2014'!K21</f>
        <v>3933703.2271291493</v>
      </c>
      <c r="L18" s="604">
        <f>F.G.P.INCREMENTO!L21+'F.G.P. ESTIMACIONES 2014'!L21</f>
        <v>2549471.2130180039</v>
      </c>
      <c r="M18" s="604">
        <f>F.G.P.INCREMENTO!M21+'F.G.P. ESTIMACIONES 2014'!M21</f>
        <v>3834080.8363231784</v>
      </c>
      <c r="N18" s="604">
        <f>F.G.P.INCREMENTO!N21+'F.G.P. ESTIMACIONES 2014'!N21</f>
        <v>3935505.5587965548</v>
      </c>
      <c r="O18" s="605">
        <f t="shared" si="0"/>
        <v>51499809.467395328</v>
      </c>
      <c r="P18" s="606"/>
      <c r="Q18" s="606"/>
    </row>
    <row r="19" spans="1:20" x14ac:dyDescent="0.2">
      <c r="A19" s="602" t="s">
        <v>287</v>
      </c>
      <c r="B19" s="622"/>
      <c r="C19" s="604">
        <f>F.G.P.INCREMENTO!C22+'F.G.P. ESTIMACIONES 2014'!C22</f>
        <v>10324536.435491528</v>
      </c>
      <c r="D19" s="604">
        <f>F.G.P.INCREMENTO!D22+'F.G.P. ESTIMACIONES 2014'!D22</f>
        <v>14243160.996711396</v>
      </c>
      <c r="E19" s="604">
        <f>F.G.P.INCREMENTO!E22+'F.G.P. ESTIMACIONES 2014'!E22</f>
        <v>9268723.1038334761</v>
      </c>
      <c r="F19" s="604">
        <f>F.G.P.INCREMENTO!F22+'F.G.P. ESTIMACIONES 2014'!F22</f>
        <v>11596848.493254587</v>
      </c>
      <c r="G19" s="604">
        <f>F.G.P.INCREMENTO!G22+'F.G.P. ESTIMACIONES 2014'!G22</f>
        <v>11968832.606544487</v>
      </c>
      <c r="H19" s="604">
        <f>F.G.P.INCREMENTO!H22+'F.G.P. ESTIMACIONES 2014'!H22</f>
        <v>11334267.711307108</v>
      </c>
      <c r="I19" s="604">
        <f>F.G.P.INCREMENTO!I22+'F.G.P. ESTIMACIONES 2014'!I22</f>
        <v>10294583.872931704</v>
      </c>
      <c r="J19" s="604">
        <f>F.G.P.INCREMENTO!J22+'F.G.P. ESTIMACIONES 2014'!J22</f>
        <v>10394359.244351763</v>
      </c>
      <c r="K19" s="604">
        <f>F.G.P.INCREMENTO!K22+'F.G.P. ESTIMACIONES 2014'!K22</f>
        <v>9926729.7564776912</v>
      </c>
      <c r="L19" s="604">
        <f>F.G.P.INCREMENTO!L22+'F.G.P. ESTIMACIONES 2014'!L22</f>
        <v>7712161.5468888804</v>
      </c>
      <c r="M19" s="604">
        <f>F.G.P.INCREMENTO!M22+'F.G.P. ESTIMACIONES 2014'!M22</f>
        <v>9476272.0455951169</v>
      </c>
      <c r="N19" s="604">
        <f>F.G.P.INCREMENTO!N22+'F.G.P. ESTIMACIONES 2014'!N22</f>
        <v>9943723.5062499791</v>
      </c>
      <c r="O19" s="605">
        <f t="shared" si="0"/>
        <v>126484199.3196377</v>
      </c>
      <c r="P19" s="606"/>
      <c r="Q19" s="606"/>
    </row>
    <row r="20" spans="1:20" x14ac:dyDescent="0.2">
      <c r="A20" s="602" t="s">
        <v>162</v>
      </c>
      <c r="B20" s="622"/>
      <c r="C20" s="604">
        <f>F.G.P.INCREMENTO!C23+'F.G.P. ESTIMACIONES 2014'!C23</f>
        <v>4995841.1304196529</v>
      </c>
      <c r="D20" s="604">
        <f>F.G.P.INCREMENTO!D23+'F.G.P. ESTIMACIONES 2014'!D23</f>
        <v>7136000.483881088</v>
      </c>
      <c r="E20" s="604">
        <f>F.G.P.INCREMENTO!E23+'F.G.P. ESTIMACIONES 2014'!E23</f>
        <v>4391763.1055457387</v>
      </c>
      <c r="F20" s="604">
        <f>F.G.P.INCREMENTO!F23+'F.G.P. ESTIMACIONES 2014'!F23</f>
        <v>5667334.4972450379</v>
      </c>
      <c r="G20" s="604">
        <f>F.G.P.INCREMENTO!G23+'F.G.P. ESTIMACIONES 2014'!G23</f>
        <v>6086535.2657315638</v>
      </c>
      <c r="H20" s="604">
        <f>F.G.P.INCREMENTO!H23+'F.G.P. ESTIMACIONES 2014'!H23</f>
        <v>5749858.4876384409</v>
      </c>
      <c r="I20" s="604">
        <f>F.G.P.INCREMENTO!I23+'F.G.P. ESTIMACIONES 2014'!I23</f>
        <v>4869971.0354778813</v>
      </c>
      <c r="J20" s="604">
        <f>F.G.P.INCREMENTO!J23+'F.G.P. ESTIMACIONES 2014'!J23</f>
        <v>5110394.2025578097</v>
      </c>
      <c r="K20" s="604">
        <f>F.G.P.INCREMENTO!K23+'F.G.P. ESTIMACIONES 2014'!K23</f>
        <v>4702183.2920929706</v>
      </c>
      <c r="L20" s="604">
        <f>F.G.P.INCREMENTO!L23+'F.G.P. ESTIMACIONES 2014'!L23</f>
        <v>3191918.4973164685</v>
      </c>
      <c r="M20" s="604">
        <f>F.G.P.INCREMENTO!M23+'F.G.P. ESTIMACIONES 2014'!M23</f>
        <v>4560618.8846696308</v>
      </c>
      <c r="N20" s="604">
        <f>F.G.P.INCREMENTO!N23+'F.G.P. ESTIMACIONES 2014'!N23</f>
        <v>4705743.2100073602</v>
      </c>
      <c r="O20" s="605">
        <f t="shared" si="0"/>
        <v>61168162.092583649</v>
      </c>
      <c r="P20" s="606"/>
      <c r="Q20" s="606"/>
    </row>
    <row r="21" spans="1:20" x14ac:dyDescent="0.2">
      <c r="A21" s="602" t="s">
        <v>163</v>
      </c>
      <c r="B21" s="622"/>
      <c r="C21" s="604">
        <f>F.G.P.INCREMENTO!C24+'F.G.P. ESTIMACIONES 2014'!C24</f>
        <v>43824907.729310296</v>
      </c>
      <c r="D21" s="604">
        <f>F.G.P.INCREMENTO!D24+'F.G.P. ESTIMACIONES 2014'!D24</f>
        <v>58818681.739225984</v>
      </c>
      <c r="E21" s="604">
        <f>F.G.P.INCREMENTO!E24+'F.G.P. ESTIMACIONES 2014'!E24</f>
        <v>39969491.630618423</v>
      </c>
      <c r="F21" s="604">
        <f>F.G.P.INCREMENTO!F24+'F.G.P. ESTIMACIONES 2014'!F24</f>
        <v>48850251.73477722</v>
      </c>
      <c r="G21" s="604">
        <f>F.G.P.INCREMENTO!G24+'F.G.P. ESTIMACIONES 2014'!G24</f>
        <v>48821795.299753621</v>
      </c>
      <c r="H21" s="604">
        <f>F.G.P.INCREMENTO!H24+'F.G.P. ESTIMACIONES 2014'!H24</f>
        <v>46327301.130194917</v>
      </c>
      <c r="I21" s="604">
        <f>F.G.P.INCREMENTO!I24+'F.G.P. ESTIMACIONES 2014'!I24</f>
        <v>44446205.392445736</v>
      </c>
      <c r="J21" s="604">
        <f>F.G.P.INCREMENTO!J24+'F.G.P. ESTIMACIONES 2014'!J24</f>
        <v>43578540.695247211</v>
      </c>
      <c r="K21" s="604">
        <f>F.G.P.INCREMENTO!K24+'F.G.P. ESTIMACIONES 2014'!K24</f>
        <v>42816154.843878843</v>
      </c>
      <c r="L21" s="604">
        <f>F.G.P.INCREMENTO!L24+'F.G.P. ESTIMACIONES 2014'!L24</f>
        <v>36363772.633876152</v>
      </c>
      <c r="M21" s="604">
        <f>F.G.P.INCREMENTO!M24+'F.G.P. ESTIMACIONES 2014'!M24</f>
        <v>40390660.586620174</v>
      </c>
      <c r="N21" s="604">
        <f>F.G.P.INCREMENTO!N24+'F.G.P. ESTIMACIONES 2014'!N24</f>
        <v>42919623.783562094</v>
      </c>
      <c r="O21" s="605">
        <f t="shared" si="0"/>
        <v>537127387.19951069</v>
      </c>
      <c r="P21" s="606"/>
      <c r="Q21" s="606"/>
      <c r="T21" s="606"/>
    </row>
    <row r="22" spans="1:20" x14ac:dyDescent="0.2">
      <c r="A22" s="602" t="s">
        <v>164</v>
      </c>
      <c r="B22" s="622"/>
      <c r="C22" s="604">
        <f>F.G.P.INCREMENTO!C25+'F.G.P. ESTIMACIONES 2014'!C25</f>
        <v>4736280.5208657635</v>
      </c>
      <c r="D22" s="604">
        <f>F.G.P.INCREMENTO!D25+'F.G.P. ESTIMACIONES 2014'!D25</f>
        <v>6550265.3171795914</v>
      </c>
      <c r="E22" s="604">
        <f>F.G.P.INCREMENTO!E25+'F.G.P. ESTIMACIONES 2014'!E25</f>
        <v>4245690.7444584463</v>
      </c>
      <c r="F22" s="604">
        <f>F.G.P.INCREMENTO!F25+'F.G.P. ESTIMACIONES 2014'!F25</f>
        <v>5323684.1497698463</v>
      </c>
      <c r="G22" s="604">
        <f>F.G.P.INCREMENTO!G25+'F.G.P. ESTIMACIONES 2014'!G25</f>
        <v>5510359.906787931</v>
      </c>
      <c r="H22" s="604">
        <f>F.G.P.INCREMENTO!H25+'F.G.P. ESTIMACIONES 2014'!H25</f>
        <v>5217274.0734254234</v>
      </c>
      <c r="I22" s="604">
        <f>F.G.P.INCREMENTO!I25+'F.G.P. ESTIMACIONES 2014'!I25</f>
        <v>4715075.5408550892</v>
      </c>
      <c r="J22" s="604">
        <f>F.G.P.INCREMENTO!J25+'F.G.P. ESTIMACIONES 2014'!J25</f>
        <v>4773724.1226809211</v>
      </c>
      <c r="K22" s="604">
        <f>F.G.P.INCREMENTO!K25+'F.G.P. ESTIMACIONES 2014'!K25</f>
        <v>4547010.3063987736</v>
      </c>
      <c r="L22" s="604">
        <f>F.G.P.INCREMENTO!L25+'F.G.P. ESTIMACIONES 2014'!L25</f>
        <v>3501698.1918041217</v>
      </c>
      <c r="M22" s="604">
        <f>F.G.P.INCREMENTO!M25+'F.G.P. ESTIMACIONES 2014'!M25</f>
        <v>4345487.8151312442</v>
      </c>
      <c r="N22" s="604">
        <f>F.G.P.INCREMENTO!N25+'F.G.P. ESTIMACIONES 2014'!N25</f>
        <v>4554493.5046414342</v>
      </c>
      <c r="O22" s="605">
        <f t="shared" si="0"/>
        <v>58021044.193998583</v>
      </c>
      <c r="P22" s="606"/>
      <c r="Q22" s="606"/>
      <c r="T22" s="606"/>
    </row>
    <row r="23" spans="1:20" ht="13.5" thickBot="1" x14ac:dyDescent="0.25">
      <c r="A23" s="602" t="s">
        <v>165</v>
      </c>
      <c r="B23" s="622"/>
      <c r="C23" s="604">
        <f>F.G.P.INCREMENTO!C26+'F.G.P. ESTIMACIONES 2014'!C26</f>
        <v>5293370.5473768227</v>
      </c>
      <c r="D23" s="604">
        <f>F.G.P.INCREMENTO!D26+'F.G.P. ESTIMACIONES 2014'!D26</f>
        <v>7838207.7983978018</v>
      </c>
      <c r="E23" s="604">
        <f>F.G.P.INCREMENTO!E26+'F.G.P. ESTIMACIONES 2014'!E26</f>
        <v>4547444.0939486753</v>
      </c>
      <c r="F23" s="604">
        <f>F.G.P.INCREMENTO!F26+'F.G.P. ESTIMACIONES 2014'!F26</f>
        <v>6068301.2189649008</v>
      </c>
      <c r="G23" s="604">
        <f>F.G.P.INCREMENTO!G26+'F.G.P. ESTIMACIONES 2014'!G26</f>
        <v>6784224.4124944666</v>
      </c>
      <c r="H23" s="604">
        <f>F.G.P.INCREMENTO!H26+'F.G.P. ESTIMACIONES 2014'!H26</f>
        <v>6393842.2332316209</v>
      </c>
      <c r="I23" s="604">
        <f>F.G.P.INCREMENTO!I26+'F.G.P. ESTIMACIONES 2014'!I26</f>
        <v>5033471.0630933279</v>
      </c>
      <c r="J23" s="604">
        <f>F.G.P.INCREMENTO!J26+'F.G.P. ESTIMACIONES 2014'!J26</f>
        <v>5506504.1266295481</v>
      </c>
      <c r="K23" s="604">
        <f>F.G.P.INCREMENTO!K26+'F.G.P. ESTIMACIONES 2014'!K26</f>
        <v>4867289.6803279892</v>
      </c>
      <c r="L23" s="604">
        <f>F.G.P.INCREMENTO!L26+'F.G.P. ESTIMACIONES 2014'!L26</f>
        <v>2768704.9993826351</v>
      </c>
      <c r="M23" s="604">
        <f>F.G.P.INCREMENTO!M26+'F.G.P. ESTIMACIONES 2014'!M26</f>
        <v>4804094.8214064594</v>
      </c>
      <c r="N23" s="604">
        <f>F.G.P.INCREMENTO!N26+'F.G.P. ESTIMACIONES 2014'!N26</f>
        <v>4865764.0255006757</v>
      </c>
      <c r="O23" s="605">
        <f t="shared" si="0"/>
        <v>64771219.020754926</v>
      </c>
      <c r="P23" s="606"/>
      <c r="Q23" s="606"/>
      <c r="T23" s="606"/>
    </row>
    <row r="24" spans="1:20" ht="13.5" thickBot="1" x14ac:dyDescent="0.25">
      <c r="A24" s="607" t="s">
        <v>288</v>
      </c>
      <c r="B24" s="623">
        <f>SUM(B4:B23)</f>
        <v>0</v>
      </c>
      <c r="C24" s="609">
        <f>SUM(C4:C23)</f>
        <v>137667253.52426907</v>
      </c>
      <c r="D24" s="609">
        <f t="shared" ref="D24:N24" si="1">SUM(D4:D23)</f>
        <v>195023594.90477291</v>
      </c>
      <c r="E24" s="609">
        <f t="shared" si="1"/>
        <v>121639242.81427719</v>
      </c>
      <c r="F24" s="609">
        <f t="shared" si="1"/>
        <v>155800711.98272052</v>
      </c>
      <c r="G24" s="609">
        <f t="shared" si="1"/>
        <v>165765578.24988386</v>
      </c>
      <c r="H24" s="609">
        <f t="shared" si="1"/>
        <v>156684496.16427472</v>
      </c>
      <c r="I24" s="609">
        <f t="shared" si="1"/>
        <v>134937556.60027435</v>
      </c>
      <c r="J24" s="609">
        <f t="shared" si="1"/>
        <v>140288144.7228829</v>
      </c>
      <c r="K24" s="609">
        <f t="shared" si="1"/>
        <v>130246208.57342991</v>
      </c>
      <c r="L24" s="609">
        <f t="shared" si="1"/>
        <v>91538801.755101442</v>
      </c>
      <c r="M24" s="609">
        <f t="shared" si="1"/>
        <v>125838379.80107811</v>
      </c>
      <c r="N24" s="609">
        <f t="shared" si="1"/>
        <v>130375239.55703501</v>
      </c>
      <c r="O24" s="609">
        <f>SUM(C24:N24)</f>
        <v>1685805208.6499999</v>
      </c>
      <c r="P24" s="606"/>
      <c r="Q24" s="606"/>
      <c r="T24" s="606"/>
    </row>
    <row r="25" spans="1:20" x14ac:dyDescent="0.2">
      <c r="A25" s="611" t="s">
        <v>289</v>
      </c>
    </row>
    <row r="39" spans="13:13" x14ac:dyDescent="0.2">
      <c r="M39" s="597" t="s">
        <v>362</v>
      </c>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U87"/>
  <sheetViews>
    <sheetView zoomScale="90" zoomScaleNormal="90" workbookViewId="0">
      <selection sqref="A1:AM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9"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6.28515625" customWidth="1"/>
    <col min="22" max="22" width="18.5703125" customWidth="1"/>
    <col min="23" max="23" width="14.7109375" bestFit="1" customWidth="1"/>
    <col min="24" max="24" width="14.7109375" customWidth="1"/>
    <col min="25" max="27" width="18.5703125" customWidth="1"/>
    <col min="28" max="28" width="19.85546875" customWidth="1"/>
    <col min="29" max="29" width="16.85546875" customWidth="1"/>
    <col min="30" max="30" width="18.7109375" customWidth="1"/>
    <col min="31" max="33" width="21.5703125" customWidth="1"/>
    <col min="34" max="34" width="19.140625" style="11" customWidth="1"/>
    <col min="35" max="35" width="20.7109375" style="11" customWidth="1"/>
    <col min="36" max="36" width="18.140625" style="11" customWidth="1"/>
    <col min="37" max="37" width="17.5703125" style="11" customWidth="1"/>
    <col min="38" max="38" width="17.5703125" customWidth="1"/>
    <col min="39" max="39" width="16.5703125" customWidth="1"/>
    <col min="40" max="41" width="11.42578125" customWidth="1"/>
  </cols>
  <sheetData>
    <row r="1" spans="1:47" ht="18" customHeight="1" x14ac:dyDescent="0.25">
      <c r="A1" s="1010" t="s">
        <v>524</v>
      </c>
      <c r="B1" s="1010"/>
      <c r="C1" s="1010"/>
      <c r="D1" s="1010"/>
      <c r="E1" s="1010"/>
      <c r="F1" s="1010"/>
      <c r="G1" s="1010"/>
      <c r="H1" s="1010"/>
      <c r="I1" s="1010"/>
      <c r="J1" s="1010"/>
      <c r="K1" s="1010"/>
      <c r="L1" s="1010"/>
      <c r="M1" s="1010"/>
      <c r="N1" s="1010"/>
      <c r="O1" s="1010"/>
      <c r="P1" s="1010"/>
      <c r="Q1" s="1010"/>
      <c r="R1" s="1010"/>
      <c r="S1" s="1010"/>
      <c r="T1" s="1010"/>
      <c r="U1" s="1010"/>
      <c r="V1" s="1010"/>
      <c r="W1" s="1010"/>
      <c r="X1" s="1010"/>
      <c r="Y1" s="1010"/>
      <c r="Z1" s="1010"/>
      <c r="AA1" s="1010"/>
      <c r="AB1" s="1010"/>
      <c r="AC1" s="1010"/>
      <c r="AD1" s="1010"/>
      <c r="AE1" s="1010"/>
      <c r="AF1" s="1010"/>
      <c r="AG1" s="1010"/>
      <c r="AH1" s="1010"/>
      <c r="AI1" s="1010"/>
      <c r="AJ1" s="1010"/>
      <c r="AK1" s="1010"/>
      <c r="AL1" s="1010"/>
      <c r="AM1" s="1010"/>
    </row>
    <row r="2" spans="1:47" x14ac:dyDescent="0.25">
      <c r="A2" s="955"/>
      <c r="B2" s="955"/>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955"/>
      <c r="AE2" s="955"/>
      <c r="AF2" s="955"/>
      <c r="AG2" s="955"/>
      <c r="AH2" s="955"/>
      <c r="AI2" s="955"/>
      <c r="AJ2" s="887"/>
      <c r="AK2" s="887"/>
    </row>
    <row r="3" spans="1:47" ht="15.75" thickBot="1" x14ac:dyDescent="0.3">
      <c r="A3" s="987"/>
      <c r="B3" s="987"/>
      <c r="C3" s="987"/>
      <c r="D3" s="987"/>
      <c r="E3" s="987"/>
      <c r="F3" s="987"/>
      <c r="G3" s="987"/>
      <c r="H3" s="987"/>
      <c r="I3" s="987"/>
      <c r="J3" s="987"/>
      <c r="K3" s="987"/>
      <c r="L3" s="987"/>
      <c r="M3" s="987"/>
      <c r="N3" s="987"/>
      <c r="O3" s="987"/>
      <c r="P3" s="987"/>
      <c r="Q3" s="987"/>
      <c r="R3" s="987"/>
      <c r="S3" s="987"/>
      <c r="T3" s="987"/>
      <c r="U3" s="10"/>
      <c r="V3" s="10"/>
    </row>
    <row r="4" spans="1:47" ht="45" customHeight="1" thickBot="1" x14ac:dyDescent="0.3">
      <c r="A4" s="988" t="s">
        <v>235</v>
      </c>
      <c r="B4" s="939"/>
      <c r="C4" s="939"/>
      <c r="D4" s="939"/>
      <c r="E4" s="939"/>
      <c r="F4" s="939"/>
      <c r="G4" s="939"/>
      <c r="H4" s="939"/>
      <c r="I4" s="940"/>
      <c r="J4" s="941"/>
      <c r="K4" s="941"/>
      <c r="L4" s="941"/>
      <c r="M4" s="941"/>
      <c r="N4" s="941"/>
      <c r="O4" s="941"/>
      <c r="P4" s="941"/>
      <c r="Q4" s="941"/>
      <c r="R4" s="941"/>
      <c r="S4" s="985" t="s">
        <v>271</v>
      </c>
      <c r="T4" s="986"/>
      <c r="U4" s="985" t="s">
        <v>183</v>
      </c>
      <c r="V4" s="991"/>
      <c r="W4" s="986"/>
      <c r="X4" s="985" t="s">
        <v>186</v>
      </c>
      <c r="Y4" s="992"/>
      <c r="Z4" s="985" t="s">
        <v>424</v>
      </c>
      <c r="AA4" s="992"/>
      <c r="AB4" s="985" t="s">
        <v>303</v>
      </c>
      <c r="AC4" s="986"/>
      <c r="AD4" s="985" t="s">
        <v>431</v>
      </c>
      <c r="AE4" s="986"/>
      <c r="AF4" s="1008" t="s">
        <v>276</v>
      </c>
      <c r="AG4" s="1009"/>
      <c r="AH4" s="1003" t="s">
        <v>275</v>
      </c>
      <c r="AI4" s="1004"/>
      <c r="AJ4" s="1003" t="s">
        <v>426</v>
      </c>
      <c r="AK4" s="1004"/>
      <c r="AL4" s="1003" t="s">
        <v>425</v>
      </c>
      <c r="AM4" s="1004"/>
      <c r="AN4" s="88"/>
      <c r="AO4" s="88"/>
      <c r="AP4" s="88"/>
      <c r="AQ4" s="88"/>
      <c r="AR4" s="88"/>
      <c r="AS4" s="88"/>
      <c r="AT4" s="88"/>
      <c r="AU4" s="137"/>
    </row>
    <row r="5" spans="1:47" ht="15.75" customHeight="1" x14ac:dyDescent="0.25">
      <c r="A5" s="989"/>
      <c r="B5" s="977" t="s">
        <v>14</v>
      </c>
      <c r="C5" s="942"/>
      <c r="D5" s="943"/>
      <c r="E5" s="1012" t="s">
        <v>15</v>
      </c>
      <c r="F5" s="1012"/>
      <c r="G5" s="1012"/>
      <c r="H5" s="1012"/>
      <c r="I5" s="977" t="s">
        <v>16</v>
      </c>
      <c r="J5" s="977"/>
      <c r="K5" s="977"/>
      <c r="L5" s="977"/>
      <c r="M5" s="977" t="s">
        <v>17</v>
      </c>
      <c r="N5" s="977" t="s">
        <v>18</v>
      </c>
      <c r="O5" s="977"/>
      <c r="P5" s="977"/>
      <c r="Q5" s="977"/>
      <c r="R5" s="975"/>
      <c r="S5" s="995" t="s">
        <v>272</v>
      </c>
      <c r="T5" s="998" t="s">
        <v>273</v>
      </c>
      <c r="U5" s="995" t="s">
        <v>272</v>
      </c>
      <c r="V5" s="1000" t="s">
        <v>274</v>
      </c>
      <c r="W5" s="993" t="s">
        <v>273</v>
      </c>
      <c r="X5" s="995" t="s">
        <v>272</v>
      </c>
      <c r="Y5" s="993" t="s">
        <v>273</v>
      </c>
      <c r="Z5" s="995" t="s">
        <v>272</v>
      </c>
      <c r="AA5" s="993" t="s">
        <v>273</v>
      </c>
      <c r="AB5" s="995" t="s">
        <v>272</v>
      </c>
      <c r="AC5" s="993" t="s">
        <v>273</v>
      </c>
      <c r="AD5" s="995" t="s">
        <v>272</v>
      </c>
      <c r="AE5" s="993" t="s">
        <v>273</v>
      </c>
      <c r="AF5" s="1005" t="s">
        <v>272</v>
      </c>
      <c r="AG5" s="993" t="s">
        <v>273</v>
      </c>
      <c r="AH5" s="995" t="s">
        <v>272</v>
      </c>
      <c r="AI5" s="993" t="s">
        <v>273</v>
      </c>
      <c r="AJ5" s="995" t="s">
        <v>272</v>
      </c>
      <c r="AK5" s="993" t="s">
        <v>273</v>
      </c>
      <c r="AL5" s="995" t="s">
        <v>272</v>
      </c>
      <c r="AM5" s="993" t="s">
        <v>273</v>
      </c>
    </row>
    <row r="6" spans="1:47" ht="15.75" customHeight="1" x14ac:dyDescent="0.25">
      <c r="A6" s="989"/>
      <c r="B6" s="1011"/>
      <c r="C6" s="944" t="s">
        <v>20</v>
      </c>
      <c r="D6" s="1014" t="s">
        <v>21</v>
      </c>
      <c r="E6" s="1014"/>
      <c r="F6" s="944" t="s">
        <v>22</v>
      </c>
      <c r="G6" s="944" t="s">
        <v>23</v>
      </c>
      <c r="H6" s="944" t="s">
        <v>24</v>
      </c>
      <c r="I6" s="1015" t="s">
        <v>25</v>
      </c>
      <c r="J6" s="977" t="s">
        <v>26</v>
      </c>
      <c r="K6" s="944" t="s">
        <v>23</v>
      </c>
      <c r="L6" s="977" t="s">
        <v>27</v>
      </c>
      <c r="M6" s="1011"/>
      <c r="N6" s="1015" t="s">
        <v>28</v>
      </c>
      <c r="O6" s="945"/>
      <c r="P6" s="945"/>
      <c r="Q6" s="944" t="s">
        <v>22</v>
      </c>
      <c r="R6" s="946" t="s">
        <v>29</v>
      </c>
      <c r="S6" s="996"/>
      <c r="T6" s="999"/>
      <c r="U6" s="996"/>
      <c r="V6" s="1001"/>
      <c r="W6" s="994"/>
      <c r="X6" s="996"/>
      <c r="Y6" s="994"/>
      <c r="Z6" s="996"/>
      <c r="AA6" s="994"/>
      <c r="AB6" s="996"/>
      <c r="AC6" s="994"/>
      <c r="AD6" s="996"/>
      <c r="AE6" s="994"/>
      <c r="AF6" s="1006"/>
      <c r="AG6" s="994"/>
      <c r="AH6" s="996"/>
      <c r="AI6" s="994"/>
      <c r="AJ6" s="996"/>
      <c r="AK6" s="994"/>
      <c r="AL6" s="996"/>
      <c r="AM6" s="994"/>
    </row>
    <row r="7" spans="1:47" ht="15.75" customHeight="1" x14ac:dyDescent="0.25">
      <c r="A7" s="989"/>
      <c r="B7" s="1011"/>
      <c r="C7" s="944" t="s">
        <v>30</v>
      </c>
      <c r="D7" s="1014">
        <v>2010</v>
      </c>
      <c r="E7" s="1014"/>
      <c r="F7" s="944" t="s">
        <v>31</v>
      </c>
      <c r="G7" s="944" t="s">
        <v>32</v>
      </c>
      <c r="H7" s="944" t="s">
        <v>33</v>
      </c>
      <c r="I7" s="1015"/>
      <c r="J7" s="977"/>
      <c r="K7" s="944" t="s">
        <v>32</v>
      </c>
      <c r="L7" s="977"/>
      <c r="M7" s="1011"/>
      <c r="N7" s="1016"/>
      <c r="O7" s="947"/>
      <c r="P7" s="947"/>
      <c r="Q7" s="944" t="s">
        <v>34</v>
      </c>
      <c r="R7" s="946" t="s">
        <v>35</v>
      </c>
      <c r="S7" s="996"/>
      <c r="T7" s="999"/>
      <c r="U7" s="996"/>
      <c r="V7" s="1001"/>
      <c r="W7" s="994"/>
      <c r="X7" s="996"/>
      <c r="Y7" s="994"/>
      <c r="Z7" s="996"/>
      <c r="AA7" s="994"/>
      <c r="AB7" s="996"/>
      <c r="AC7" s="994"/>
      <c r="AD7" s="996"/>
      <c r="AE7" s="994"/>
      <c r="AF7" s="1006"/>
      <c r="AG7" s="994"/>
      <c r="AH7" s="996"/>
      <c r="AI7" s="994"/>
      <c r="AJ7" s="996"/>
      <c r="AK7" s="994"/>
      <c r="AL7" s="996"/>
      <c r="AM7" s="994"/>
    </row>
    <row r="8" spans="1:47" ht="15.75" customHeight="1" thickBot="1" x14ac:dyDescent="0.3">
      <c r="A8" s="990"/>
      <c r="B8" s="948">
        <v>2014</v>
      </c>
      <c r="C8" s="948" t="s">
        <v>36</v>
      </c>
      <c r="D8" s="949" t="s">
        <v>37</v>
      </c>
      <c r="E8" s="949" t="s">
        <v>38</v>
      </c>
      <c r="F8" s="949" t="s">
        <v>39</v>
      </c>
      <c r="G8" s="950">
        <v>0.6</v>
      </c>
      <c r="H8" s="950">
        <v>0.6</v>
      </c>
      <c r="I8" s="949" t="s">
        <v>40</v>
      </c>
      <c r="J8" s="949"/>
      <c r="K8" s="950">
        <v>0.3</v>
      </c>
      <c r="L8" s="949" t="s">
        <v>41</v>
      </c>
      <c r="M8" s="1013"/>
      <c r="N8" s="1017"/>
      <c r="O8" s="951"/>
      <c r="P8" s="951"/>
      <c r="Q8" s="949" t="s">
        <v>42</v>
      </c>
      <c r="R8" s="952" t="s">
        <v>43</v>
      </c>
      <c r="S8" s="997"/>
      <c r="T8" s="953" t="s">
        <v>44</v>
      </c>
      <c r="U8" s="997"/>
      <c r="V8" s="1002"/>
      <c r="W8" s="904" t="s">
        <v>44</v>
      </c>
      <c r="X8" s="997"/>
      <c r="Y8" s="904" t="s">
        <v>44</v>
      </c>
      <c r="Z8" s="997"/>
      <c r="AA8" s="904" t="s">
        <v>44</v>
      </c>
      <c r="AB8" s="997"/>
      <c r="AC8" s="904" t="s">
        <v>44</v>
      </c>
      <c r="AD8" s="997"/>
      <c r="AE8" s="904" t="s">
        <v>44</v>
      </c>
      <c r="AF8" s="1007"/>
      <c r="AG8" s="905" t="s">
        <v>44</v>
      </c>
      <c r="AH8" s="997"/>
      <c r="AI8" s="904" t="s">
        <v>44</v>
      </c>
      <c r="AJ8" s="997"/>
      <c r="AK8" s="904" t="s">
        <v>44</v>
      </c>
      <c r="AL8" s="997"/>
      <c r="AM8" s="904" t="s">
        <v>44</v>
      </c>
    </row>
    <row r="9" spans="1:47" ht="27" customHeight="1" x14ac:dyDescent="0.25">
      <c r="A9" s="15" t="s">
        <v>45</v>
      </c>
      <c r="B9" s="16">
        <v>3.62</v>
      </c>
      <c r="C9" s="17">
        <f>[1]Datos!I$13*B9%</f>
        <v>35350314.182820007</v>
      </c>
      <c r="D9" s="18">
        <f>E9/E$29*100</f>
        <v>3.3707564846877225</v>
      </c>
      <c r="E9" s="19">
        <v>36572</v>
      </c>
      <c r="F9" s="20">
        <f>D9</f>
        <v>3.3707564846877225</v>
      </c>
      <c r="G9" s="20">
        <f>F9*0.6</f>
        <v>2.0224538908126335</v>
      </c>
      <c r="H9" s="21">
        <f>[1]Datos!$K$18*Consolidado!G9/100</f>
        <v>5653240.9108052226</v>
      </c>
      <c r="I9" s="18">
        <v>1.210777</v>
      </c>
      <c r="J9" s="18">
        <f>I9/$I$29*100</f>
        <v>5.6616379474610792</v>
      </c>
      <c r="K9" s="18">
        <f>J9*0.3</f>
        <v>1.6984913842383238</v>
      </c>
      <c r="L9" s="19">
        <f>[1]Datos!$K$18*Consolidado!K9/100</f>
        <v>4747688.4509679256</v>
      </c>
      <c r="M9" s="22">
        <f>H9+L9</f>
        <v>10400929.361773148</v>
      </c>
      <c r="N9" s="18">
        <f>K9+G9</f>
        <v>3.7209452750509575</v>
      </c>
      <c r="O9" s="18">
        <f>1/N9</f>
        <v>0.26874891353684455</v>
      </c>
      <c r="P9" s="18">
        <f>O9/$O$29*100</f>
        <v>4.2169783378374488</v>
      </c>
      <c r="Q9" s="18">
        <f>P9*0.1</f>
        <v>0.42169783378374492</v>
      </c>
      <c r="R9" s="23">
        <f>Q9*[1]Datos!$K$18/100</f>
        <v>1178746.0059157736</v>
      </c>
      <c r="S9" s="906">
        <f>FGP!U8</f>
        <v>3.7409604047338894</v>
      </c>
      <c r="T9" s="907">
        <f>FGP!T8</f>
        <v>61884093.115923651</v>
      </c>
      <c r="U9" s="908">
        <f>FFM!S8</f>
        <v>2.2656376894140999</v>
      </c>
      <c r="V9" s="909">
        <f>FFM!N8</f>
        <v>0</v>
      </c>
      <c r="W9" s="910">
        <f>FFM!Q8</f>
        <v>18386452.246632896</v>
      </c>
      <c r="X9" s="911">
        <f>FOFIR!I8</f>
        <v>0.23811380240433105</v>
      </c>
      <c r="Y9" s="910">
        <f>FOFIR!K8</f>
        <v>1729135.9038667539</v>
      </c>
      <c r="Z9" s="912">
        <f>FOCO!J8</f>
        <v>3.1012197296055257</v>
      </c>
      <c r="AA9" s="913">
        <f>FOCO!L8</f>
        <v>3251463.3708675825</v>
      </c>
      <c r="AB9" s="911">
        <f>'IEPS TyA'!E9</f>
        <v>0.05</v>
      </c>
      <c r="AC9" s="910">
        <f>'IEPS TyA'!G9</f>
        <v>1503117.9</v>
      </c>
      <c r="AD9" s="911">
        <f>'IEPS GyD '!F8</f>
        <v>3.0136241193535018</v>
      </c>
      <c r="AE9" s="910">
        <f>'IEPS GyD '!H8</f>
        <v>2048461.727014479</v>
      </c>
      <c r="AF9" s="914">
        <f>FGP!F8+FGP!L8+FGP!R8</f>
        <v>3.7409604047338894</v>
      </c>
      <c r="AG9" s="915">
        <f>'Incentivo ISAN'!J8</f>
        <v>447211.9911662715</v>
      </c>
      <c r="AH9" s="916">
        <f>FGP!F8+FGP!L8+FGP!R8</f>
        <v>3.7409604047338894</v>
      </c>
      <c r="AI9" s="917">
        <f>'FOCO ISAN'!J8</f>
        <v>105990.97764282642</v>
      </c>
      <c r="AJ9" s="918">
        <f>'ISR 2023'!B4</f>
        <v>2.9638456236005406</v>
      </c>
      <c r="AK9" s="919">
        <f>'ISR 2023'!O4</f>
        <v>5964156.2637387682</v>
      </c>
      <c r="AL9" s="916">
        <f>'ISR Enaje'!T9</f>
        <v>3.7409604047338894</v>
      </c>
      <c r="AM9" s="917">
        <f>'ISR Enaje'!S9</f>
        <v>1309336.1416568612</v>
      </c>
      <c r="AN9" s="24"/>
    </row>
    <row r="10" spans="1:47" ht="27" customHeight="1" x14ac:dyDescent="0.25">
      <c r="A10" s="25" t="s">
        <v>46</v>
      </c>
      <c r="B10" s="26">
        <v>2.4700000000000002</v>
      </c>
      <c r="C10" s="27">
        <f>[1]Datos!I$13*B10%</f>
        <v>24120241.997670002</v>
      </c>
      <c r="D10" s="28">
        <f t="shared" ref="D10:D28" si="0">E10/E$29*100</f>
        <v>1.4036216369164749</v>
      </c>
      <c r="E10" s="29">
        <v>15229</v>
      </c>
      <c r="F10" s="30">
        <f t="shared" ref="F10:F29" si="1">D10</f>
        <v>1.4036216369164749</v>
      </c>
      <c r="G10" s="30">
        <f t="shared" ref="G10:G28" si="2">F10*0.6</f>
        <v>0.8421729821498849</v>
      </c>
      <c r="H10" s="31">
        <f>[1]Datos!$K$18*Consolidado!G10/100</f>
        <v>2354074.314520746</v>
      </c>
      <c r="I10" s="28">
        <v>1.1581699999999999</v>
      </c>
      <c r="J10" s="28">
        <f t="shared" ref="J10:J28" si="3">I10/$I$29*100</f>
        <v>5.4156456734898315</v>
      </c>
      <c r="K10" s="28">
        <f t="shared" ref="K10:K28" si="4">J10*0.3</f>
        <v>1.6246937020469494</v>
      </c>
      <c r="L10" s="32">
        <f>[1]Datos!$K$18*Consolidado!K10/100</f>
        <v>4541406.3310234025</v>
      </c>
      <c r="M10" s="33">
        <f t="shared" ref="M10:M29" si="5">H10+L10</f>
        <v>6895480.645544149</v>
      </c>
      <c r="N10" s="28">
        <f t="shared" ref="N10:N28" si="6">K10+G10</f>
        <v>2.4668666841968343</v>
      </c>
      <c r="O10" s="28">
        <f t="shared" ref="O10:O28" si="7">1/N10</f>
        <v>0.40537253448115756</v>
      </c>
      <c r="P10" s="28">
        <f t="shared" ref="P10:P28" si="8">O10/$O$29*100</f>
        <v>6.3607594693659895</v>
      </c>
      <c r="Q10" s="28">
        <f t="shared" ref="Q10:Q28" si="9">P10*0.1</f>
        <v>0.63607594693659897</v>
      </c>
      <c r="R10" s="34">
        <f>Q10*[1]Datos!$K$18/100</f>
        <v>1777983.9540155372</v>
      </c>
      <c r="S10" s="906">
        <f>FGP!U9</f>
        <v>3.1434770533559684</v>
      </c>
      <c r="T10" s="907">
        <f>FGP!T9</f>
        <v>46416207.790166676</v>
      </c>
      <c r="U10" s="908">
        <f>FFM!S9</f>
        <v>1.0526991118961988</v>
      </c>
      <c r="V10" s="909">
        <f>FFM!N9</f>
        <v>0</v>
      </c>
      <c r="W10" s="910">
        <f>FFM!Q9</f>
        <v>11950978.360447546</v>
      </c>
      <c r="X10" s="911">
        <f>FOFIR!I9</f>
        <v>5.5750133859447999E-2</v>
      </c>
      <c r="Y10" s="910">
        <f>FOFIR!K9</f>
        <v>684935.40866614727</v>
      </c>
      <c r="Z10" s="912">
        <f>FOCO!J9</f>
        <v>3.2708002668738683</v>
      </c>
      <c r="AA10" s="920">
        <f>FOCO!L9</f>
        <v>1616631.0023662823</v>
      </c>
      <c r="AB10" s="911">
        <f>'IEPS TyA'!E10</f>
        <v>0.05</v>
      </c>
      <c r="AC10" s="910">
        <f>'IEPS TyA'!G10</f>
        <v>1882341.9</v>
      </c>
      <c r="AD10" s="911">
        <f>'IEPS GyD '!F9</f>
        <v>1.2459367229589724</v>
      </c>
      <c r="AE10" s="910">
        <f>'IEPS GyD '!H9</f>
        <v>839504.98039076268</v>
      </c>
      <c r="AF10" s="921">
        <f>FGP!F9+FGP!L9+FGP!R9</f>
        <v>3.1434770533559675</v>
      </c>
      <c r="AG10" s="915">
        <f>'Incentivo ISAN'!J9</f>
        <v>375786.0228720617</v>
      </c>
      <c r="AH10" s="916">
        <f>FGP!F9+FGP!L9+FGP!R9</f>
        <v>3.1434770533559675</v>
      </c>
      <c r="AI10" s="917">
        <f>'FOCO ISAN'!J9</f>
        <v>89062.745935877072</v>
      </c>
      <c r="AJ10" s="918">
        <f>'ISR 2023'!B5</f>
        <v>1.2668611874195863</v>
      </c>
      <c r="AK10" s="922">
        <f>'ISR 2023'!O5</f>
        <v>2549308.9201647318</v>
      </c>
      <c r="AL10" s="916">
        <f>'ISR Enaje'!T10</f>
        <v>3.1434770533559675</v>
      </c>
      <c r="AM10" s="917">
        <f>'ISR Enaje'!S10</f>
        <v>1100216.9686745887</v>
      </c>
      <c r="AN10" s="24"/>
    </row>
    <row r="11" spans="1:47" ht="27" customHeight="1" x14ac:dyDescent="0.25">
      <c r="A11" s="25" t="s">
        <v>47</v>
      </c>
      <c r="B11" s="26">
        <v>2.33</v>
      </c>
      <c r="C11" s="27">
        <f>[1]Datos!I$13*B11%</f>
        <v>22753102.77513</v>
      </c>
      <c r="D11" s="28">
        <f t="shared" si="0"/>
        <v>1.0311720319010782</v>
      </c>
      <c r="E11" s="32">
        <v>11188</v>
      </c>
      <c r="F11" s="30">
        <f t="shared" si="1"/>
        <v>1.0311720319010782</v>
      </c>
      <c r="G11" s="30">
        <f t="shared" si="2"/>
        <v>0.61870321914064685</v>
      </c>
      <c r="H11" s="31">
        <f>[1]Datos!$K$18*Consolidado!G11/100</f>
        <v>1729423.0370252877</v>
      </c>
      <c r="I11" s="28">
        <v>1.096811</v>
      </c>
      <c r="J11" s="28">
        <f t="shared" si="3"/>
        <v>5.1287287244411921</v>
      </c>
      <c r="K11" s="28">
        <f t="shared" si="4"/>
        <v>1.5386186173323575</v>
      </c>
      <c r="L11" s="32">
        <f>[1]Datos!$K$18*Consolidado!K11/100</f>
        <v>4300805.943286485</v>
      </c>
      <c r="M11" s="33">
        <f t="shared" si="5"/>
        <v>6030228.9803117728</v>
      </c>
      <c r="N11" s="28">
        <f t="shared" si="6"/>
        <v>2.1573218364730042</v>
      </c>
      <c r="O11" s="28">
        <f t="shared" si="7"/>
        <v>0.46353769896238362</v>
      </c>
      <c r="P11" s="28">
        <f t="shared" si="8"/>
        <v>7.2734375353201246</v>
      </c>
      <c r="Q11" s="28">
        <f t="shared" si="9"/>
        <v>0.72734375353201253</v>
      </c>
      <c r="R11" s="34">
        <f>Q11*[1]Datos!$K$18/100</f>
        <v>2033099.2376956686</v>
      </c>
      <c r="S11" s="906">
        <f>FGP!U10</f>
        <v>2.6603597159645074</v>
      </c>
      <c r="T11" s="907">
        <f>FGP!T10</f>
        <v>41622427.480254218</v>
      </c>
      <c r="U11" s="908">
        <f>FFM!S10</f>
        <v>0.67618370307892373</v>
      </c>
      <c r="V11" s="909">
        <f>FFM!N10</f>
        <v>0</v>
      </c>
      <c r="W11" s="910">
        <f>FFM!Q10</f>
        <v>10891678.634692878</v>
      </c>
      <c r="X11" s="911">
        <f>FOFIR!I10</f>
        <v>2.0350480086820645E-2</v>
      </c>
      <c r="Y11" s="910">
        <f>FOFIR!K10</f>
        <v>490742.59887038113</v>
      </c>
      <c r="Z11" s="912">
        <f>FOCO!J10</f>
        <v>3.8542395726001253</v>
      </c>
      <c r="AA11" s="920">
        <f>FOCO!L10</f>
        <v>1449058.7425658572</v>
      </c>
      <c r="AB11" s="911">
        <f>'IEPS TyA'!E11</f>
        <v>0.05</v>
      </c>
      <c r="AC11" s="910">
        <f>'IEPS TyA'!G11</f>
        <v>1952415.9</v>
      </c>
      <c r="AD11" s="911">
        <f>'IEPS GyD '!F10</f>
        <v>0.93374430169912959</v>
      </c>
      <c r="AE11" s="910">
        <f>'IEPS GyD '!H10</f>
        <v>618790.63022236316</v>
      </c>
      <c r="AF11" s="921">
        <f>FGP!F10+FGP!L10+FGP!R10</f>
        <v>2.6603597159645078</v>
      </c>
      <c r="AG11" s="915">
        <f>'Incentivo ISAN'!J10</f>
        <v>318031.90546724218</v>
      </c>
      <c r="AH11" s="916">
        <f>FGP!F10+FGP!L10+FGP!R10</f>
        <v>2.6603597159645078</v>
      </c>
      <c r="AI11" s="917">
        <f>'FOCO ISAN'!J10</f>
        <v>75374.795953427936</v>
      </c>
      <c r="AJ11" s="918">
        <f>'ISR 2023'!B6</f>
        <v>1.6314687135080541</v>
      </c>
      <c r="AK11" s="922">
        <f>'ISR 2023'!O6</f>
        <v>3283009.8400814412</v>
      </c>
      <c r="AL11" s="916">
        <f>'ISR Enaje'!T11</f>
        <v>2.6603597159645078</v>
      </c>
      <c r="AM11" s="917">
        <f>'ISR Enaje'!S11</f>
        <v>931125.90058757772</v>
      </c>
      <c r="AN11" s="24"/>
    </row>
    <row r="12" spans="1:47" ht="27" customHeight="1" x14ac:dyDescent="0.25">
      <c r="A12" s="25" t="s">
        <v>48</v>
      </c>
      <c r="B12" s="26">
        <v>2.81</v>
      </c>
      <c r="C12" s="27">
        <f>[1]Datos!I$13*B12%</f>
        <v>27440437.252410002</v>
      </c>
      <c r="D12" s="28">
        <f t="shared" si="0"/>
        <v>11.447687005923617</v>
      </c>
      <c r="E12" s="32">
        <v>124205</v>
      </c>
      <c r="F12" s="30">
        <f t="shared" si="1"/>
        <v>11.447687005923617</v>
      </c>
      <c r="G12" s="30">
        <f t="shared" si="2"/>
        <v>6.8686122035541706</v>
      </c>
      <c r="H12" s="31">
        <f>[1]Datos!$K$18*Consolidado!G12/100</f>
        <v>19199409.037694484</v>
      </c>
      <c r="I12" s="28">
        <v>0.95977000000000001</v>
      </c>
      <c r="J12" s="28">
        <f t="shared" si="3"/>
        <v>4.4879199496147679</v>
      </c>
      <c r="K12" s="28">
        <f t="shared" si="4"/>
        <v>1.3463759848844303</v>
      </c>
      <c r="L12" s="32">
        <f>[1]Datos!$K$18*Consolidado!K12/100</f>
        <v>3763441.9423110001</v>
      </c>
      <c r="M12" s="33">
        <f t="shared" si="5"/>
        <v>22962850.980005484</v>
      </c>
      <c r="N12" s="28">
        <f t="shared" si="6"/>
        <v>8.2149881884386016</v>
      </c>
      <c r="O12" s="28">
        <f t="shared" si="7"/>
        <v>0.12172872036594699</v>
      </c>
      <c r="P12" s="28">
        <f t="shared" si="8"/>
        <v>1.9100630775405734</v>
      </c>
      <c r="Q12" s="28">
        <f t="shared" si="9"/>
        <v>0.19100630775405736</v>
      </c>
      <c r="R12" s="34">
        <f>Q12*[1]Datos!$K$18/100</f>
        <v>533908.17863502365</v>
      </c>
      <c r="S12" s="906">
        <f>FGP!U11</f>
        <v>10.664297612988729</v>
      </c>
      <c r="T12" s="907">
        <f>FGP!T11</f>
        <v>103079867.96699311</v>
      </c>
      <c r="U12" s="908">
        <f>FFM!S11</f>
        <v>28.600676757470438</v>
      </c>
      <c r="V12" s="909">
        <f>FFM!N11</f>
        <v>0</v>
      </c>
      <c r="W12" s="910">
        <f>FFM!Q11</f>
        <v>46626629.79165595</v>
      </c>
      <c r="X12" s="911">
        <f>FOFIR!I11</f>
        <v>33.219879442917254</v>
      </c>
      <c r="Y12" s="910">
        <f>FOFIR!K11</f>
        <v>20661868.119947284</v>
      </c>
      <c r="Z12" s="912">
        <f>FOCO!J11</f>
        <v>10.827867411712226</v>
      </c>
      <c r="AA12" s="920">
        <f>FOCO!L11</f>
        <v>7054839.3313386161</v>
      </c>
      <c r="AB12" s="911">
        <f>'IEPS TyA'!E12</f>
        <v>0.05</v>
      </c>
      <c r="AC12" s="910">
        <f>'IEPS TyA'!G12</f>
        <v>1738071.9</v>
      </c>
      <c r="AD12" s="911">
        <f>'IEPS GyD '!F11</f>
        <v>15.187266887691669</v>
      </c>
      <c r="AE12" s="910">
        <f>'IEPS GyD '!H11</f>
        <v>6601452.4816819057</v>
      </c>
      <c r="AF12" s="921">
        <f>FGP!F11+FGP!L11+FGP!R11</f>
        <v>10.664297612988729</v>
      </c>
      <c r="AG12" s="915">
        <f>'Incentivo ISAN'!J11</f>
        <v>1274860.2641876023</v>
      </c>
      <c r="AH12" s="916">
        <f>FGP!F11+FGP!L11+FGP!R11</f>
        <v>10.664297612988729</v>
      </c>
      <c r="AI12" s="917">
        <f>'FOCO ISAN'!J11</f>
        <v>302146.8306492648</v>
      </c>
      <c r="AJ12" s="918">
        <f>'ISR 2023'!B7</f>
        <v>17.919436698208663</v>
      </c>
      <c r="AK12" s="922">
        <f>'ISR 2023'!O7</f>
        <v>36059341.207002014</v>
      </c>
      <c r="AL12" s="916">
        <f>'ISR Enaje'!T12</f>
        <v>10.664297612988729</v>
      </c>
      <c r="AM12" s="917">
        <f>'ISR Enaje'!S12</f>
        <v>3732504.1645460553</v>
      </c>
      <c r="AN12" s="24"/>
    </row>
    <row r="13" spans="1:47" ht="27" customHeight="1" x14ac:dyDescent="0.25">
      <c r="A13" s="25" t="s">
        <v>49</v>
      </c>
      <c r="B13" s="26">
        <v>4.6399999999999997</v>
      </c>
      <c r="C13" s="27">
        <f>[1]Datos!I$13*B13%</f>
        <v>45310899.947039999</v>
      </c>
      <c r="D13" s="28">
        <f t="shared" si="0"/>
        <v>6.4885126808905982</v>
      </c>
      <c r="E13" s="32">
        <v>70399</v>
      </c>
      <c r="F13" s="30">
        <f t="shared" si="1"/>
        <v>6.4885126808905982</v>
      </c>
      <c r="G13" s="30">
        <f t="shared" si="2"/>
        <v>3.8931076085343586</v>
      </c>
      <c r="H13" s="31">
        <f>[1]Datos!$K$18*Consolidado!G13/100</f>
        <v>10882164.138679232</v>
      </c>
      <c r="I13" s="28">
        <v>0.95178300000000005</v>
      </c>
      <c r="J13" s="28">
        <f t="shared" si="3"/>
        <v>4.4505724427771165</v>
      </c>
      <c r="K13" s="28">
        <f t="shared" si="4"/>
        <v>1.3351717328331349</v>
      </c>
      <c r="L13" s="32">
        <f>[1]Datos!$K$18*Consolidado!K13/100</f>
        <v>3732123.3859972609</v>
      </c>
      <c r="M13" s="33">
        <f t="shared" si="5"/>
        <v>14614287.524676494</v>
      </c>
      <c r="N13" s="28">
        <f t="shared" si="6"/>
        <v>5.2282793413674931</v>
      </c>
      <c r="O13" s="28">
        <f t="shared" si="7"/>
        <v>0.19126751550701249</v>
      </c>
      <c r="P13" s="28">
        <f t="shared" si="8"/>
        <v>3.001206438419636</v>
      </c>
      <c r="Q13" s="28">
        <f t="shared" si="9"/>
        <v>0.30012064384196363</v>
      </c>
      <c r="R13" s="34">
        <f>Q13*[1]Datos!$K$18/100</f>
        <v>838908.76803271263</v>
      </c>
      <c r="S13" s="906">
        <f>FGP!U12</f>
        <v>6.2620312493312147</v>
      </c>
      <c r="T13" s="907">
        <f>FGP!T12</f>
        <v>89726059.388900116</v>
      </c>
      <c r="U13" s="908">
        <f>FFM!S12</f>
        <v>6.8479158979647945</v>
      </c>
      <c r="V13" s="909">
        <f>FFM!N12</f>
        <v>0</v>
      </c>
      <c r="W13" s="910">
        <f>FFM!Q12</f>
        <v>28320979.094385117</v>
      </c>
      <c r="X13" s="911">
        <f>FOFIR!I12</f>
        <v>2.4238875194410521</v>
      </c>
      <c r="Y13" s="910">
        <f>FOFIR!K12</f>
        <v>4146390.8617831757</v>
      </c>
      <c r="Z13" s="912">
        <f>FOCO!J12</f>
        <v>4.8642760218984451</v>
      </c>
      <c r="AA13" s="920">
        <f>FOCO!L12</f>
        <v>5269937.9195815418</v>
      </c>
      <c r="AB13" s="911">
        <f>'IEPS TyA'!E13</f>
        <v>0.05</v>
      </c>
      <c r="AC13" s="910">
        <f>'IEPS TyA'!G13</f>
        <v>1323810.8999999999</v>
      </c>
      <c r="AD13" s="911">
        <f>'IEPS GyD '!F12</f>
        <v>6.2678071902196431</v>
      </c>
      <c r="AE13" s="910">
        <f>'IEPS GyD '!H12</f>
        <v>3886728.7984742476</v>
      </c>
      <c r="AF13" s="921">
        <f>FGP!F12+FGP!L12+FGP!R12</f>
        <v>6.2620312493312147</v>
      </c>
      <c r="AG13" s="915">
        <f>'Incentivo ISAN'!J12</f>
        <v>748592.65022294084</v>
      </c>
      <c r="AH13" s="916">
        <f>FGP!F12+FGP!L12+FGP!R12</f>
        <v>6.2620312493312147</v>
      </c>
      <c r="AI13" s="917">
        <f>'FOCO ISAN'!J12</f>
        <v>177419.36356948913</v>
      </c>
      <c r="AJ13" s="918">
        <f>'ISR 2023'!B8</f>
        <v>6.585053179741486</v>
      </c>
      <c r="AK13" s="922">
        <f>'ISR 2023'!O8</f>
        <v>13251124.099134715</v>
      </c>
      <c r="AL13" s="916">
        <f>'ISR Enaje'!T13</f>
        <v>6.2620312493312147</v>
      </c>
      <c r="AM13" s="917">
        <f>'ISR Enaje'!S13</f>
        <v>2191710.9372659251</v>
      </c>
      <c r="AN13" s="24"/>
    </row>
    <row r="14" spans="1:47" ht="27" customHeight="1" x14ac:dyDescent="0.25">
      <c r="A14" s="25" t="s">
        <v>50</v>
      </c>
      <c r="B14" s="26">
        <v>1.5</v>
      </c>
      <c r="C14" s="27">
        <f>[1]Datos!I$13*B14%</f>
        <v>14647920.2415</v>
      </c>
      <c r="D14" s="28">
        <f t="shared" si="0"/>
        <v>3.1613515100292262</v>
      </c>
      <c r="E14" s="32">
        <v>34300</v>
      </c>
      <c r="F14" s="30">
        <f t="shared" si="1"/>
        <v>3.1613515100292262</v>
      </c>
      <c r="G14" s="30">
        <f t="shared" si="2"/>
        <v>1.8968109060175355</v>
      </c>
      <c r="H14" s="31">
        <f>[1]Datos!$K$18*Consolidado!G14/100</f>
        <v>5302038.8067543237</v>
      </c>
      <c r="I14" s="28">
        <v>1.071404</v>
      </c>
      <c r="J14" s="28">
        <f t="shared" si="3"/>
        <v>5.0099246545495904</v>
      </c>
      <c r="K14" s="28">
        <f t="shared" si="4"/>
        <v>1.5029773963648771</v>
      </c>
      <c r="L14" s="32">
        <f>[1]Datos!$K$18*Consolidado!K14/100</f>
        <v>4201180.2314718887</v>
      </c>
      <c r="M14" s="33">
        <f t="shared" si="5"/>
        <v>9503219.0382262133</v>
      </c>
      <c r="N14" s="28">
        <f t="shared" si="6"/>
        <v>3.3997883023824125</v>
      </c>
      <c r="O14" s="28">
        <f t="shared" si="7"/>
        <v>0.29413596114182955</v>
      </c>
      <c r="P14" s="28">
        <f t="shared" si="8"/>
        <v>4.6153301986988051</v>
      </c>
      <c r="Q14" s="28">
        <f t="shared" si="9"/>
        <v>0.46153301986988055</v>
      </c>
      <c r="R14" s="34">
        <f>Q14*[1]Datos!$K$18/100</f>
        <v>1290094.8503540491</v>
      </c>
      <c r="S14" s="906">
        <f>FGP!U13</f>
        <v>4.4840019348333104</v>
      </c>
      <c r="T14" s="907">
        <f>FGP!T13</f>
        <v>46451923.27877339</v>
      </c>
      <c r="U14" s="908">
        <f>FFM!S13</f>
        <v>1.9351210940822299</v>
      </c>
      <c r="V14" s="909">
        <f>FFM!N13</f>
        <v>0.44395223975783266</v>
      </c>
      <c r="W14" s="910">
        <f>FFM!Q13</f>
        <v>9048959.6906919517</v>
      </c>
      <c r="X14" s="911">
        <f>FOFIR!I13</f>
        <v>4.3002490404843649E-3</v>
      </c>
      <c r="Y14" s="910">
        <f>FOFIR!K13</f>
        <v>1421532.0737976129</v>
      </c>
      <c r="Z14" s="912">
        <f>FOCO!J13</f>
        <v>3.4706419063749485</v>
      </c>
      <c r="AA14" s="920">
        <f>FOCO!L13</f>
        <v>5889939.1802004501</v>
      </c>
      <c r="AB14" s="911">
        <f>'IEPS TyA'!E14</f>
        <v>0.05</v>
      </c>
      <c r="AC14" s="910">
        <f>'IEPS TyA'!G14</f>
        <v>2651094.9</v>
      </c>
      <c r="AD14" s="911">
        <f>'IEPS GyD '!F13</f>
        <v>3.8487813406547868</v>
      </c>
      <c r="AE14" s="910">
        <f>'IEPS GyD '!H13</f>
        <v>2055782.7413941901</v>
      </c>
      <c r="AF14" s="921">
        <f>FGP!F13+FGP!L13+FGP!R13</f>
        <v>4.4840019348333104</v>
      </c>
      <c r="AG14" s="915">
        <f>'Incentivo ISAN'!J13</f>
        <v>536038.66834106867</v>
      </c>
      <c r="AH14" s="916">
        <f>FGP!F13+FGP!L13+FGP!R13</f>
        <v>4.4840019348333104</v>
      </c>
      <c r="AI14" s="917">
        <f>'FOCO ISAN'!J13</f>
        <v>127043.24489077702</v>
      </c>
      <c r="AJ14" s="918">
        <f>'ISR 2023'!B9</f>
        <v>2.7186214679270062</v>
      </c>
      <c r="AK14" s="922">
        <f>'ISR 2023'!O9</f>
        <v>5470690.8914419413</v>
      </c>
      <c r="AL14" s="916">
        <f>'ISR Enaje'!T14</f>
        <v>4.4840019348333104</v>
      </c>
      <c r="AM14" s="917">
        <f>'ISR Enaje'!S14</f>
        <v>1569400.6771916589</v>
      </c>
      <c r="AN14" s="24"/>
    </row>
    <row r="15" spans="1:47" ht="27" customHeight="1" x14ac:dyDescent="0.25">
      <c r="A15" s="25" t="s">
        <v>51</v>
      </c>
      <c r="B15" s="26">
        <v>1.53</v>
      </c>
      <c r="C15" s="27">
        <f>[1]Datos!I$13*B15%</f>
        <v>14940878.646330001</v>
      </c>
      <c r="D15" s="28">
        <f t="shared" si="0"/>
        <v>1.050711580592804</v>
      </c>
      <c r="E15" s="32">
        <v>11400</v>
      </c>
      <c r="F15" s="30">
        <f t="shared" si="1"/>
        <v>1.050711580592804</v>
      </c>
      <c r="G15" s="30">
        <f t="shared" si="2"/>
        <v>0.63042694835568236</v>
      </c>
      <c r="H15" s="31">
        <f>[1]Datos!$K$18*Consolidado!G15/100</f>
        <v>1762193.6558891919</v>
      </c>
      <c r="I15" s="28">
        <v>1.737498</v>
      </c>
      <c r="J15" s="28">
        <f t="shared" si="3"/>
        <v>8.1246047872050173</v>
      </c>
      <c r="K15" s="28">
        <f t="shared" si="4"/>
        <v>2.4373814361615049</v>
      </c>
      <c r="L15" s="32">
        <f>[1]Datos!$K$18*Consolidado!K15/100</f>
        <v>6813062.3460636167</v>
      </c>
      <c r="M15" s="33">
        <f t="shared" si="5"/>
        <v>8575256.0019528084</v>
      </c>
      <c r="N15" s="28">
        <f t="shared" si="6"/>
        <v>3.0678083845171873</v>
      </c>
      <c r="O15" s="28">
        <f t="shared" si="7"/>
        <v>0.32596559975742434</v>
      </c>
      <c r="P15" s="28">
        <f t="shared" si="8"/>
        <v>5.1147736932852705</v>
      </c>
      <c r="Q15" s="28">
        <f t="shared" si="9"/>
        <v>0.51147736932852705</v>
      </c>
      <c r="R15" s="34">
        <f>Q15*[1]Datos!$K$18/100</f>
        <v>1429701.2171077179</v>
      </c>
      <c r="S15" s="906">
        <f>FGP!U14</f>
        <v>2.8247488936015976</v>
      </c>
      <c r="T15" s="907">
        <f>FGP!T14</f>
        <v>34976178.295454606</v>
      </c>
      <c r="U15" s="908">
        <f>FFM!S14</f>
        <v>0.50421296253906278</v>
      </c>
      <c r="V15" s="909">
        <f>FFM!N14</f>
        <v>0.15255472373293125</v>
      </c>
      <c r="W15" s="910">
        <f>FFM!Q14</f>
        <v>7303410.743189699</v>
      </c>
      <c r="X15" s="911">
        <f>FOFIR!I14</f>
        <v>9.5385624214059555E-4</v>
      </c>
      <c r="Y15" s="910">
        <f>FOFIR!K14</f>
        <v>489764.36790317058</v>
      </c>
      <c r="Z15" s="912">
        <f>FOCO!J14</f>
        <v>3.7119397222843022</v>
      </c>
      <c r="AA15" s="920">
        <f>FOCO!L14</f>
        <v>1948632.1306997498</v>
      </c>
      <c r="AB15" s="911">
        <f>'IEPS TyA'!E15</f>
        <v>0.05</v>
      </c>
      <c r="AC15" s="910">
        <f>'IEPS TyA'!G15</f>
        <v>2613996.9</v>
      </c>
      <c r="AD15" s="911">
        <f>'IEPS GyD '!F14</f>
        <v>0.98991789266473262</v>
      </c>
      <c r="AE15" s="910">
        <f>'IEPS GyD '!H14</f>
        <v>638300.72668771702</v>
      </c>
      <c r="AF15" s="921">
        <f>FGP!F14+FGP!L14+FGP!R14</f>
        <v>2.8247488936015976</v>
      </c>
      <c r="AG15" s="915">
        <f>'Incentivo ISAN'!J14</f>
        <v>337683.76047330938</v>
      </c>
      <c r="AH15" s="916">
        <f>FGP!F14+FGP!L14+FGP!R14</f>
        <v>2.8247488936015976</v>
      </c>
      <c r="AI15" s="917">
        <f>'FOCO ISAN'!J14</f>
        <v>80032.361863403115</v>
      </c>
      <c r="AJ15" s="918">
        <f>'ISR 2023'!B10</f>
        <v>1.1820846330401689</v>
      </c>
      <c r="AK15" s="922">
        <f>'ISR 2023'!O10</f>
        <v>2378712.7818928757</v>
      </c>
      <c r="AL15" s="916">
        <f>'ISR Enaje'!T15</f>
        <v>2.8247488936015976</v>
      </c>
      <c r="AM15" s="917">
        <f>'ISR Enaje'!S15</f>
        <v>988662.11276055919</v>
      </c>
      <c r="AN15" s="24"/>
    </row>
    <row r="16" spans="1:47" ht="27" customHeight="1" x14ac:dyDescent="0.25">
      <c r="A16" s="25" t="s">
        <v>52</v>
      </c>
      <c r="B16" s="26">
        <v>3.16</v>
      </c>
      <c r="C16" s="27">
        <f>[1]Datos!I$13*B16%</f>
        <v>30858285.308760002</v>
      </c>
      <c r="D16" s="28">
        <f t="shared" si="0"/>
        <v>2.5136892050445216</v>
      </c>
      <c r="E16" s="32">
        <v>27273</v>
      </c>
      <c r="F16" s="30">
        <f t="shared" si="1"/>
        <v>2.5136892050445216</v>
      </c>
      <c r="G16" s="30">
        <f t="shared" si="2"/>
        <v>1.5082135230267129</v>
      </c>
      <c r="H16" s="31">
        <f>[1]Datos!$K$18*Consolidado!G16/100</f>
        <v>4215816.4541285904</v>
      </c>
      <c r="I16" s="28">
        <v>0.789829</v>
      </c>
      <c r="J16" s="28">
        <f t="shared" si="3"/>
        <v>3.6932695602949481</v>
      </c>
      <c r="K16" s="28">
        <f t="shared" si="4"/>
        <v>1.1079808680884844</v>
      </c>
      <c r="L16" s="32">
        <f>[1]Datos!$K$18*Consolidado!K16/100</f>
        <v>3097070.7417960083</v>
      </c>
      <c r="M16" s="33">
        <f t="shared" si="5"/>
        <v>7312887.1959245987</v>
      </c>
      <c r="N16" s="28">
        <f t="shared" si="6"/>
        <v>2.6161943911151972</v>
      </c>
      <c r="O16" s="28">
        <f t="shared" si="7"/>
        <v>0.38223459365102186</v>
      </c>
      <c r="P16" s="28">
        <f t="shared" si="8"/>
        <v>5.9976986704263497</v>
      </c>
      <c r="Q16" s="28">
        <f t="shared" si="9"/>
        <v>0.59976986704263502</v>
      </c>
      <c r="R16" s="34">
        <f>Q16*[1]Datos!$K$18/100</f>
        <v>1676499.8029553366</v>
      </c>
      <c r="S16" s="906">
        <f>FGP!U15</f>
        <v>3.2830833450623955</v>
      </c>
      <c r="T16" s="907">
        <f>FGP!T15</f>
        <v>54144446.68769519</v>
      </c>
      <c r="U16" s="908">
        <f>FFM!S15</f>
        <v>2.0114845776528272</v>
      </c>
      <c r="V16" s="909">
        <f>FFM!N15</f>
        <v>0</v>
      </c>
      <c r="W16" s="910">
        <f>FFM!Q15</f>
        <v>16090727.84752493</v>
      </c>
      <c r="X16" s="911">
        <f>FOFIR!I15</f>
        <v>0.20389945080017163</v>
      </c>
      <c r="Y16" s="910">
        <f>FOFIR!K15</f>
        <v>1297512.165836555</v>
      </c>
      <c r="Z16" s="912">
        <f>FOCO!J15</f>
        <v>2.9202501067459696</v>
      </c>
      <c r="AA16" s="920">
        <f>FOCO!L15</f>
        <v>2365260.9824992158</v>
      </c>
      <c r="AB16" s="911">
        <f>'IEPS TyA'!E16</f>
        <v>0.05</v>
      </c>
      <c r="AC16" s="910">
        <f>'IEPS TyA'!G16</f>
        <v>1622655.9</v>
      </c>
      <c r="AD16" s="911">
        <f>'IEPS GyD '!F15</f>
        <v>2.3715130283878989</v>
      </c>
      <c r="AE16" s="910">
        <f>'IEPS GyD '!H15</f>
        <v>1548907.2161936564</v>
      </c>
      <c r="AF16" s="921">
        <f>FGP!F15+FGP!L15+FGP!R15</f>
        <v>3.283083345062396</v>
      </c>
      <c r="AG16" s="915">
        <f>'Incentivo ISAN'!J15</f>
        <v>392475.21520202223</v>
      </c>
      <c r="AH16" s="916">
        <f>FGP!F15+FGP!L15+FGP!R15</f>
        <v>3.283083345062396</v>
      </c>
      <c r="AI16" s="917">
        <f>'FOCO ISAN'!J15</f>
        <v>93018.149292814356</v>
      </c>
      <c r="AJ16" s="918">
        <f>'ISR 2023'!B11</f>
        <v>2.4453507188305617</v>
      </c>
      <c r="AK16" s="922">
        <f>'ISR 2023'!O11</f>
        <v>4920787.2672645822</v>
      </c>
      <c r="AL16" s="916">
        <f>'ISR Enaje'!T16</f>
        <v>3.283083345062396</v>
      </c>
      <c r="AM16" s="917">
        <f>'ISR Enaje'!S16</f>
        <v>1149079.1707718384</v>
      </c>
      <c r="AN16" s="24"/>
    </row>
    <row r="17" spans="1:40" ht="27" customHeight="1" x14ac:dyDescent="0.25">
      <c r="A17" s="25" t="s">
        <v>53</v>
      </c>
      <c r="B17" s="26">
        <v>2.81</v>
      </c>
      <c r="C17" s="27">
        <f>[1]Datos!I$13*B17%</f>
        <v>27440437.252410002</v>
      </c>
      <c r="D17" s="28">
        <f t="shared" si="0"/>
        <v>1.6311836450290742</v>
      </c>
      <c r="E17" s="32">
        <v>17698</v>
      </c>
      <c r="F17" s="30">
        <f t="shared" si="1"/>
        <v>1.6311836450290742</v>
      </c>
      <c r="G17" s="30">
        <f t="shared" si="2"/>
        <v>0.9787101870174445</v>
      </c>
      <c r="H17" s="31">
        <f>[1]Datos!$K$18*Consolidado!G17/100</f>
        <v>2735728.3615725366</v>
      </c>
      <c r="I17" s="28">
        <v>1.0861320000000001</v>
      </c>
      <c r="J17" s="28">
        <f t="shared" si="3"/>
        <v>5.0787933262291878</v>
      </c>
      <c r="K17" s="28">
        <f t="shared" si="4"/>
        <v>1.5236379978687562</v>
      </c>
      <c r="L17" s="32">
        <f>[1]Datos!$K$18*Consolidado!K17/100</f>
        <v>4258931.5395210637</v>
      </c>
      <c r="M17" s="33">
        <f t="shared" si="5"/>
        <v>6994659.9010936003</v>
      </c>
      <c r="N17" s="28">
        <f t="shared" si="6"/>
        <v>2.5023481848862006</v>
      </c>
      <c r="O17" s="28">
        <f t="shared" si="7"/>
        <v>0.3996246429812792</v>
      </c>
      <c r="P17" s="28">
        <f t="shared" si="8"/>
        <v>6.2705684668267221</v>
      </c>
      <c r="Q17" s="28">
        <f t="shared" si="9"/>
        <v>0.62705684668267225</v>
      </c>
      <c r="R17" s="34">
        <f>Q17*[1]Datos!$K$18/100</f>
        <v>1752773.4180593055</v>
      </c>
      <c r="S17" s="906">
        <f>FGP!U16</f>
        <v>3.2145773533348407</v>
      </c>
      <c r="T17" s="907">
        <f>FGP!T16</f>
        <v>50240701.256491452</v>
      </c>
      <c r="U17" s="908">
        <f>FFM!S16</f>
        <v>1.0996539254494344</v>
      </c>
      <c r="V17" s="909">
        <f>FFM!N16</f>
        <v>0</v>
      </c>
      <c r="W17" s="910">
        <f>FFM!Q16</f>
        <v>13477985.882940955</v>
      </c>
      <c r="X17" s="911">
        <f>FOFIR!I16</f>
        <v>5.1736231494593159E-2</v>
      </c>
      <c r="Y17" s="910">
        <f>FOFIR!K16</f>
        <v>771067.67782865232</v>
      </c>
      <c r="Z17" s="912">
        <f>FOCO!J16</f>
        <v>3.0057082759150693</v>
      </c>
      <c r="AA17" s="920">
        <f>FOCO!L16</f>
        <v>2094366.1212728545</v>
      </c>
      <c r="AB17" s="911">
        <f>'IEPS TyA'!E17</f>
        <v>0.05</v>
      </c>
      <c r="AC17" s="910">
        <f>'IEPS TyA'!G17</f>
        <v>1738071.9</v>
      </c>
      <c r="AD17" s="911">
        <f>'IEPS GyD '!F16</f>
        <v>1.563876010153336</v>
      </c>
      <c r="AE17" s="910">
        <f>'IEPS GyD '!H16</f>
        <v>983673.43099005544</v>
      </c>
      <c r="AF17" s="921">
        <f>FGP!F16+FGP!L16+FGP!R16</f>
        <v>3.2145773533348407</v>
      </c>
      <c r="AG17" s="915">
        <f>'Incentivo ISAN'!J16</f>
        <v>384285.68693849625</v>
      </c>
      <c r="AH17" s="916">
        <f>FGP!F16+FGP!L16+FGP!R16</f>
        <v>3.2145773533348407</v>
      </c>
      <c r="AI17" s="917">
        <f>'FOCO ISAN'!J16</f>
        <v>91077.199308845884</v>
      </c>
      <c r="AJ17" s="918">
        <f>'ISR 2023'!B12</f>
        <v>2.8176339544694917</v>
      </c>
      <c r="AK17" s="922">
        <f>'ISR 2023'!O12</f>
        <v>5669934.0426703552</v>
      </c>
      <c r="AL17" s="916">
        <f>'ISR Enaje'!T17</f>
        <v>3.2145773533348407</v>
      </c>
      <c r="AM17" s="917">
        <f>'ISR Enaje'!S17</f>
        <v>1125102.0736671942</v>
      </c>
      <c r="AN17" s="24"/>
    </row>
    <row r="18" spans="1:40" ht="27" customHeight="1" x14ac:dyDescent="0.25">
      <c r="A18" s="25" t="s">
        <v>54</v>
      </c>
      <c r="B18" s="26">
        <v>1.6</v>
      </c>
      <c r="C18" s="27">
        <f>[1]Datos!I$13*B18%</f>
        <v>15624448.2576</v>
      </c>
      <c r="D18" s="28">
        <f t="shared" si="0"/>
        <v>1.2534804821107137</v>
      </c>
      <c r="E18" s="32">
        <v>13600</v>
      </c>
      <c r="F18" s="30">
        <f t="shared" si="1"/>
        <v>1.2534804821107137</v>
      </c>
      <c r="G18" s="30">
        <f t="shared" si="2"/>
        <v>0.75208828926642823</v>
      </c>
      <c r="H18" s="31">
        <f>[1]Datos!$K$18*Consolidado!G18/100</f>
        <v>2102266.1157976328</v>
      </c>
      <c r="I18" s="28">
        <v>0.84773799999999999</v>
      </c>
      <c r="J18" s="28">
        <f t="shared" si="3"/>
        <v>3.9640541819878972</v>
      </c>
      <c r="K18" s="28">
        <f t="shared" si="4"/>
        <v>1.1892162545963691</v>
      </c>
      <c r="L18" s="32">
        <f>[1]Datos!$K$18*Consolidado!K18/100</f>
        <v>3324143.0189429163</v>
      </c>
      <c r="M18" s="33">
        <f t="shared" si="5"/>
        <v>5426409.1347405491</v>
      </c>
      <c r="N18" s="28">
        <f t="shared" si="6"/>
        <v>1.9413045438627974</v>
      </c>
      <c r="O18" s="28">
        <f t="shared" si="7"/>
        <v>0.51511752916943432</v>
      </c>
      <c r="P18" s="28">
        <f t="shared" si="8"/>
        <v>8.0827841622141037</v>
      </c>
      <c r="Q18" s="28">
        <f t="shared" si="9"/>
        <v>0.80827841622141039</v>
      </c>
      <c r="R18" s="34">
        <f>Q18*[1]Datos!$K$18/100</f>
        <v>2259330.9200575752</v>
      </c>
      <c r="S18" s="906">
        <f>FGP!U17</f>
        <v>2.8913882559426334</v>
      </c>
      <c r="T18" s="907">
        <f>FGP!T17</f>
        <v>36132405.705070324</v>
      </c>
      <c r="U18" s="908">
        <f>FFM!S17</f>
        <v>0.60758289331290416</v>
      </c>
      <c r="V18" s="909">
        <f>FFM!N17</f>
        <v>0</v>
      </c>
      <c r="W18" s="910">
        <f>FFM!Q17</f>
        <v>7651933.0639243824</v>
      </c>
      <c r="X18" s="911">
        <f>FOFIR!I17</f>
        <v>6.0544054521972594E-3</v>
      </c>
      <c r="Y18" s="910">
        <f>FOFIR!K17</f>
        <v>562867.0804632802</v>
      </c>
      <c r="Z18" s="912">
        <f>FOCO!J17</f>
        <v>3.4686366380201896</v>
      </c>
      <c r="AA18" s="920">
        <f>FOCO!L17</f>
        <v>2155673.7193222772</v>
      </c>
      <c r="AB18" s="911">
        <f>'IEPS TyA'!E18</f>
        <v>0.05</v>
      </c>
      <c r="AC18" s="910">
        <f>'IEPS TyA'!G18</f>
        <v>2529495.9</v>
      </c>
      <c r="AD18" s="911">
        <f>'IEPS GyD '!F17</f>
        <v>1.1104401937422297</v>
      </c>
      <c r="AE18" s="910">
        <f>'IEPS GyD '!H17</f>
        <v>725676.71600603347</v>
      </c>
      <c r="AF18" s="921">
        <f>FGP!F17+FGP!L17+FGP!R17</f>
        <v>2.8913882559426334</v>
      </c>
      <c r="AG18" s="915">
        <f>'Incentivo ISAN'!J17</f>
        <v>345650.14308587951</v>
      </c>
      <c r="AH18" s="916">
        <f>FGP!F17+FGP!L17+FGP!R17</f>
        <v>2.8913882559426334</v>
      </c>
      <c r="AI18" s="917">
        <f>'FOCO ISAN'!J17</f>
        <v>81920.425462013518</v>
      </c>
      <c r="AJ18" s="918">
        <f>'ISR 2023'!B13</f>
        <v>1.9450206334286464</v>
      </c>
      <c r="AK18" s="922">
        <f>'ISR 2023'!O13</f>
        <v>3913971.3963483009</v>
      </c>
      <c r="AL18" s="916">
        <f>'ISR Enaje'!T18</f>
        <v>2.8913882559426334</v>
      </c>
      <c r="AM18" s="917">
        <f>'ISR Enaje'!S18</f>
        <v>1011985.8895799218</v>
      </c>
      <c r="AN18" s="24"/>
    </row>
    <row r="19" spans="1:40" ht="27" customHeight="1" x14ac:dyDescent="0.25">
      <c r="A19" s="25" t="s">
        <v>55</v>
      </c>
      <c r="B19" s="26">
        <v>2.84</v>
      </c>
      <c r="C19" s="27">
        <f>[1]Datos!I$13*B19%</f>
        <v>27733395.65724</v>
      </c>
      <c r="D19" s="28">
        <f t="shared" si="0"/>
        <v>3.1699231045024834</v>
      </c>
      <c r="E19" s="32">
        <v>34393</v>
      </c>
      <c r="F19" s="30">
        <f t="shared" si="1"/>
        <v>3.1699231045024834</v>
      </c>
      <c r="G19" s="30">
        <f t="shared" si="2"/>
        <v>1.90195386270149</v>
      </c>
      <c r="H19" s="31">
        <f>[1]Datos!$K$18*Consolidado!G19/100</f>
        <v>5316414.5971049992</v>
      </c>
      <c r="I19" s="28">
        <v>1.369108</v>
      </c>
      <c r="J19" s="28">
        <f t="shared" si="3"/>
        <v>6.4019995482013146</v>
      </c>
      <c r="K19" s="28">
        <f t="shared" si="4"/>
        <v>1.9205998644603943</v>
      </c>
      <c r="L19" s="32">
        <f>[1]Datos!$K$18*Consolidado!K19/100</f>
        <v>5368534.6184539311</v>
      </c>
      <c r="M19" s="33">
        <f t="shared" si="5"/>
        <v>10684949.215558931</v>
      </c>
      <c r="N19" s="28">
        <f t="shared" si="6"/>
        <v>3.8225537271618846</v>
      </c>
      <c r="O19" s="28">
        <f t="shared" si="7"/>
        <v>0.26160521770938344</v>
      </c>
      <c r="P19" s="28">
        <f t="shared" si="8"/>
        <v>4.1048855663354225</v>
      </c>
      <c r="Q19" s="28">
        <f t="shared" si="9"/>
        <v>0.41048855663354228</v>
      </c>
      <c r="R19" s="34">
        <f>Q19*[1]Datos!$K$18/100</f>
        <v>1147413.4032522747</v>
      </c>
      <c r="S19" s="906">
        <f>FGP!U18</f>
        <v>3.6079378597382386</v>
      </c>
      <c r="T19" s="907">
        <f>FGP!T18</f>
        <v>53323676.017739944</v>
      </c>
      <c r="U19" s="908">
        <f>FFM!S18</f>
        <v>1.535304136439126</v>
      </c>
      <c r="V19" s="909">
        <f>FFM!N18</f>
        <v>19.476953769785901</v>
      </c>
      <c r="W19" s="910">
        <f>FFM!Q18</f>
        <v>24194307.233244192</v>
      </c>
      <c r="X19" s="911">
        <f>FOFIR!I18</f>
        <v>5.0022444840702396E-2</v>
      </c>
      <c r="Y19" s="910">
        <f>FOFIR!K18</f>
        <v>1519554.2429783295</v>
      </c>
      <c r="Z19" s="912">
        <f>FOCO!J18</f>
        <v>3.0018401196972491</v>
      </c>
      <c r="AA19" s="920">
        <f>FOCO!L18</f>
        <v>4181029.0738159814</v>
      </c>
      <c r="AB19" s="911">
        <f>'IEPS TyA'!E19</f>
        <v>0.05</v>
      </c>
      <c r="AC19" s="910">
        <f>'IEPS TyA'!G19</f>
        <v>1725705.9</v>
      </c>
      <c r="AD19" s="911">
        <f>'IEPS GyD '!F18</f>
        <v>2.7169725186489848</v>
      </c>
      <c r="AE19" s="910">
        <f>'IEPS GyD '!H18</f>
        <v>1885416.6209690594</v>
      </c>
      <c r="AF19" s="921">
        <f>FGP!F18+FGP!L18+FGP!R18</f>
        <v>3.607937859738239</v>
      </c>
      <c r="AG19" s="915">
        <f>'Incentivo ISAN'!J18</f>
        <v>431309.85086501879</v>
      </c>
      <c r="AH19" s="916">
        <f>FGP!F18+FGP!L18+FGP!R18</f>
        <v>3.607937859738239</v>
      </c>
      <c r="AI19" s="917">
        <f>'FOCO ISAN'!J18</f>
        <v>102222.10867142954</v>
      </c>
      <c r="AJ19" s="918">
        <f>'ISR 2023'!B14</f>
        <v>1.636561547700581</v>
      </c>
      <c r="AK19" s="922">
        <f>'ISR 2023'!O14</f>
        <v>3293258.1670211698</v>
      </c>
      <c r="AL19" s="916">
        <f>'ISR Enaje'!T19</f>
        <v>3.607937859738239</v>
      </c>
      <c r="AM19" s="917">
        <f>'ISR Enaje'!S19</f>
        <v>1262778.2509083836</v>
      </c>
      <c r="AN19" s="24"/>
    </row>
    <row r="20" spans="1:40" ht="27" customHeight="1" x14ac:dyDescent="0.25">
      <c r="A20" s="25" t="s">
        <v>56</v>
      </c>
      <c r="B20" s="26">
        <v>3.33</v>
      </c>
      <c r="C20" s="27">
        <f>[1]Datos!I$13*B20%</f>
        <v>32518382.936130002</v>
      </c>
      <c r="D20" s="28">
        <f t="shared" si="0"/>
        <v>2.1630833407835541</v>
      </c>
      <c r="E20" s="32">
        <v>23469</v>
      </c>
      <c r="F20" s="30">
        <f t="shared" si="1"/>
        <v>2.1630833407835541</v>
      </c>
      <c r="G20" s="30">
        <f t="shared" si="2"/>
        <v>1.2978500044701324</v>
      </c>
      <c r="H20" s="31">
        <f>[1]Datos!$K$18*Consolidado!G20/100</f>
        <v>3627800.2552687232</v>
      </c>
      <c r="I20" s="28">
        <v>0.71338900000000005</v>
      </c>
      <c r="J20" s="28">
        <f t="shared" si="3"/>
        <v>3.3358332985358259</v>
      </c>
      <c r="K20" s="28">
        <f t="shared" si="4"/>
        <v>1.0007499895607477</v>
      </c>
      <c r="L20" s="32">
        <f>[1]Datos!$K$18*Consolidado!K20/100</f>
        <v>2797334.8654191126</v>
      </c>
      <c r="M20" s="33">
        <f t="shared" si="5"/>
        <v>6425135.1206878358</v>
      </c>
      <c r="N20" s="28">
        <f t="shared" si="6"/>
        <v>2.2985999940308801</v>
      </c>
      <c r="O20" s="28">
        <f t="shared" si="7"/>
        <v>0.4350474212985514</v>
      </c>
      <c r="P20" s="28">
        <f t="shared" si="8"/>
        <v>6.8263924397094096</v>
      </c>
      <c r="Q20" s="28">
        <f t="shared" si="9"/>
        <v>0.682639243970941</v>
      </c>
      <c r="R20" s="34">
        <f>Q20*[1]Datos!$K$18/100</f>
        <v>1908139.4729780732</v>
      </c>
      <c r="S20" s="906">
        <f>FGP!U19</f>
        <v>3.0024932576536294</v>
      </c>
      <c r="T20" s="907">
        <f>FGP!T19</f>
        <v>53814382.820518702</v>
      </c>
      <c r="U20" s="908">
        <f>FFM!S19</f>
        <v>1.1717070524785129</v>
      </c>
      <c r="V20" s="909">
        <f>FFM!N19</f>
        <v>0</v>
      </c>
      <c r="W20" s="910">
        <f>FFM!Q19</f>
        <v>15813698.29783003</v>
      </c>
      <c r="X20" s="911">
        <f>FOFIR!I19</f>
        <v>3.9909764645801309E-2</v>
      </c>
      <c r="Y20" s="910">
        <f>FOFIR!K19</f>
        <v>994309.54877827852</v>
      </c>
      <c r="Z20" s="912">
        <f>FOCO!J19</f>
        <v>2.8975625351725398</v>
      </c>
      <c r="AA20" s="920">
        <f>FOCO!L19</f>
        <v>2294322.8444176479</v>
      </c>
      <c r="AB20" s="911">
        <f>'IEPS TyA'!E20</f>
        <v>0.05</v>
      </c>
      <c r="AC20" s="910">
        <f>'IEPS TyA'!G20</f>
        <v>1575252.9</v>
      </c>
      <c r="AD20" s="911">
        <f>'IEPS GyD '!F19</f>
        <v>1.9503729796933278</v>
      </c>
      <c r="AE20" s="910">
        <f>'IEPS GyD '!H19</f>
        <v>1266558.9374339515</v>
      </c>
      <c r="AF20" s="921">
        <f>FGP!F19+FGP!L19+FGP!R19</f>
        <v>3.0024932576536294</v>
      </c>
      <c r="AG20" s="915">
        <f>'Incentivo ISAN'!J19</f>
        <v>358932.15723947244</v>
      </c>
      <c r="AH20" s="916">
        <f>FGP!F19+FGP!L19+FGP!R19</f>
        <v>3.0024932576536294</v>
      </c>
      <c r="AI20" s="917">
        <f>'FOCO ISAN'!J19</f>
        <v>85068.314367080413</v>
      </c>
      <c r="AJ20" s="918">
        <f>'ISR 2023'!B15</f>
        <v>1.7669693529678479</v>
      </c>
      <c r="AK20" s="922">
        <f>'ISR 2023'!O15</f>
        <v>3555678.2210320602</v>
      </c>
      <c r="AL20" s="916">
        <f>'ISR Enaje'!T20</f>
        <v>3.0024932576536294</v>
      </c>
      <c r="AM20" s="917">
        <f>'ISR Enaje'!S20</f>
        <v>1050872.6401787701</v>
      </c>
      <c r="AN20" s="24"/>
    </row>
    <row r="21" spans="1:40" ht="27" customHeight="1" x14ac:dyDescent="0.25">
      <c r="A21" s="25" t="s">
        <v>57</v>
      </c>
      <c r="B21" s="26">
        <v>4.6900000000000004</v>
      </c>
      <c r="C21" s="27">
        <f>[1]Datos!I$13*B21%</f>
        <v>45799163.955090009</v>
      </c>
      <c r="D21" s="28">
        <f t="shared" si="0"/>
        <v>3.9742704697510276</v>
      </c>
      <c r="E21" s="32">
        <v>43120</v>
      </c>
      <c r="F21" s="30">
        <f t="shared" si="1"/>
        <v>3.9742704697510276</v>
      </c>
      <c r="G21" s="30">
        <f t="shared" si="2"/>
        <v>2.3845622818506165</v>
      </c>
      <c r="H21" s="31">
        <f>[1]Datos!$K$18*Consolidado!G21/100</f>
        <v>6665420.2142054355</v>
      </c>
      <c r="I21" s="28">
        <v>0.39641700000000002</v>
      </c>
      <c r="J21" s="28">
        <f t="shared" si="3"/>
        <v>1.8536605256118004</v>
      </c>
      <c r="K21" s="28">
        <f t="shared" si="4"/>
        <v>0.5560981576835401</v>
      </c>
      <c r="L21" s="32">
        <f>[1]Datos!$K$18*Consolidado!K21/100</f>
        <v>1554426.96108974</v>
      </c>
      <c r="M21" s="33">
        <f t="shared" si="5"/>
        <v>8219847.175295176</v>
      </c>
      <c r="N21" s="28">
        <f t="shared" si="6"/>
        <v>2.9406604395341565</v>
      </c>
      <c r="O21" s="28">
        <f t="shared" si="7"/>
        <v>0.3400596636578736</v>
      </c>
      <c r="P21" s="28">
        <f t="shared" si="8"/>
        <v>5.3359257023412736</v>
      </c>
      <c r="Q21" s="28">
        <f t="shared" si="9"/>
        <v>0.53359257023412743</v>
      </c>
      <c r="R21" s="34">
        <f>Q21*[1]Datos!$K$18/100</f>
        <v>1491518.4773568413</v>
      </c>
      <c r="S21" s="906">
        <f>FGP!U20</f>
        <v>4.0688979500675648</v>
      </c>
      <c r="T21" s="907">
        <f>FGP!T20</f>
        <v>74658929.103053734</v>
      </c>
      <c r="U21" s="908">
        <f>FFM!S20</f>
        <v>2.0888004021541393</v>
      </c>
      <c r="V21" s="909">
        <f>FFM!N20</f>
        <v>0</v>
      </c>
      <c r="W21" s="910">
        <f>FFM!Q20</f>
        <v>22800766.503949478</v>
      </c>
      <c r="X21" s="911">
        <f>FOFIR!I20</f>
        <v>0.14295084305601649</v>
      </c>
      <c r="Y21" s="910">
        <f>FOFIR!K20</f>
        <v>1813322.8710012352</v>
      </c>
      <c r="Z21" s="912">
        <f>FOCO!J20</f>
        <v>3.241687505378259</v>
      </c>
      <c r="AA21" s="920">
        <f>FOCO!L20</f>
        <v>2949004.3242255454</v>
      </c>
      <c r="AB21" s="911">
        <f>'IEPS TyA'!E21</f>
        <v>0.05</v>
      </c>
      <c r="AC21" s="910">
        <f>'IEPS TyA'!G21</f>
        <v>1317627.8999999999</v>
      </c>
      <c r="AD21" s="911">
        <f>'IEPS GyD '!F20</f>
        <v>3.3605405615416495</v>
      </c>
      <c r="AE21" s="910">
        <f>'IEPS GyD '!H20</f>
        <v>2237557.159363911</v>
      </c>
      <c r="AF21" s="921">
        <f>FGP!F20+FGP!L20+FGP!R20</f>
        <v>4.0688979500675648</v>
      </c>
      <c r="AG21" s="915">
        <f>'Incentivo ISAN'!J20</f>
        <v>486415.18680589099</v>
      </c>
      <c r="AH21" s="916">
        <f>FGP!F20+FGP!L20+FGP!R20</f>
        <v>4.0688979500675648</v>
      </c>
      <c r="AI21" s="917">
        <f>'FOCO ISAN'!J20</f>
        <v>115282.2871663704</v>
      </c>
      <c r="AJ21" s="918">
        <f>'ISR 2023'!B16</f>
        <v>6.2361258764554783</v>
      </c>
      <c r="AK21" s="922">
        <f>'ISR 2023'!O16</f>
        <v>12548976.542962536</v>
      </c>
      <c r="AL21" s="916">
        <f>'ISR Enaje'!T21</f>
        <v>4.0688979500675648</v>
      </c>
      <c r="AM21" s="917">
        <f>'ISR Enaje'!S21</f>
        <v>1424114.2825236476</v>
      </c>
      <c r="AN21" s="24"/>
    </row>
    <row r="22" spans="1:40" ht="27" customHeight="1" x14ac:dyDescent="0.25">
      <c r="A22" s="25" t="s">
        <v>58</v>
      </c>
      <c r="B22" s="26">
        <v>2.13</v>
      </c>
      <c r="C22" s="27">
        <f>[1]Datos!I$13*B22%</f>
        <v>20800046.742929999</v>
      </c>
      <c r="D22" s="28">
        <f t="shared" si="0"/>
        <v>0.69217929563613667</v>
      </c>
      <c r="E22" s="32">
        <v>7510</v>
      </c>
      <c r="F22" s="30">
        <f t="shared" si="1"/>
        <v>0.69217929563613667</v>
      </c>
      <c r="G22" s="30">
        <f t="shared" si="2"/>
        <v>0.415307577381682</v>
      </c>
      <c r="H22" s="31">
        <f>[1]Datos!$K$18*Consolidado!G22/100</f>
        <v>1160883.7154147222</v>
      </c>
      <c r="I22" s="28">
        <v>0.79456599999999999</v>
      </c>
      <c r="J22" s="28">
        <f t="shared" si="3"/>
        <v>3.7154199471598481</v>
      </c>
      <c r="K22" s="28">
        <f t="shared" si="4"/>
        <v>1.1146259841479544</v>
      </c>
      <c r="L22" s="32">
        <f>[1]Datos!$K$18*Consolidado!K22/100</f>
        <v>3115645.4258148116</v>
      </c>
      <c r="M22" s="33">
        <f t="shared" si="5"/>
        <v>4276529.1412295336</v>
      </c>
      <c r="N22" s="28">
        <f t="shared" si="6"/>
        <v>1.5299335615296363</v>
      </c>
      <c r="O22" s="28">
        <f t="shared" si="7"/>
        <v>0.65362315406702642</v>
      </c>
      <c r="P22" s="28">
        <f t="shared" si="8"/>
        <v>10.256096091833161</v>
      </c>
      <c r="Q22" s="28">
        <f t="shared" si="9"/>
        <v>1.0256096091833162</v>
      </c>
      <c r="R22" s="34">
        <f>Q22*[1]Datos!$K$18/100</f>
        <v>2866823.43043203</v>
      </c>
      <c r="S22" s="906">
        <f>FGP!U21</f>
        <v>2.7439260574816893</v>
      </c>
      <c r="T22" s="907">
        <f>FGP!T21</f>
        <v>40262088.449084029</v>
      </c>
      <c r="U22" s="908">
        <f>FFM!S21</f>
        <v>0.4564564853255686</v>
      </c>
      <c r="V22" s="909">
        <f>FFM!N21</f>
        <v>0</v>
      </c>
      <c r="W22" s="910">
        <f>FFM!Q21</f>
        <v>9761881.0593910776</v>
      </c>
      <c r="X22" s="911">
        <f>FOFIR!I21</f>
        <v>9.4227081102552478E-3</v>
      </c>
      <c r="Y22" s="910">
        <f>FOFIR!K21</f>
        <v>335354.34202762169</v>
      </c>
      <c r="Z22" s="912">
        <f>FOCO!J21</f>
        <v>5.2410315169123853</v>
      </c>
      <c r="AA22" s="920">
        <f>FOCO!L21</f>
        <v>1230506.8854750069</v>
      </c>
      <c r="AB22" s="911">
        <f>'IEPS TyA'!E22</f>
        <v>0.05</v>
      </c>
      <c r="AC22" s="910">
        <f>'IEPS TyA'!G22</f>
        <v>2071953.9</v>
      </c>
      <c r="AD22" s="911">
        <f>'IEPS GyD '!F21</f>
        <v>0.62187564753418989</v>
      </c>
      <c r="AE22" s="910">
        <f>'IEPS GyD '!H21</f>
        <v>421467.86951485934</v>
      </c>
      <c r="AF22" s="921">
        <f>FGP!F21+FGP!L21+FGP!R21</f>
        <v>2.7439260574816893</v>
      </c>
      <c r="AG22" s="915">
        <f>'Incentivo ISAN'!J21</f>
        <v>328021.8187357944</v>
      </c>
      <c r="AH22" s="916">
        <f>FGP!F21+FGP!L21+FGP!R21</f>
        <v>2.7439260574816893</v>
      </c>
      <c r="AI22" s="917">
        <f>'FOCO ISAN'!J21</f>
        <v>77742.444171311305</v>
      </c>
      <c r="AJ22" s="918">
        <f>'ISR 2023'!B17</f>
        <v>1.1036563451682346</v>
      </c>
      <c r="AK22" s="922">
        <f>'ISR 2023'!O17</f>
        <v>2220891.2811233918</v>
      </c>
      <c r="AL22" s="916">
        <f>'ISR Enaje'!T22</f>
        <v>2.7439260574816893</v>
      </c>
      <c r="AM22" s="917">
        <f>'ISR Enaje'!S22</f>
        <v>960374.12011859124</v>
      </c>
      <c r="AN22" s="24"/>
    </row>
    <row r="23" spans="1:40" ht="27" customHeight="1" x14ac:dyDescent="0.25">
      <c r="A23" s="25" t="s">
        <v>59</v>
      </c>
      <c r="B23" s="26">
        <v>2.81</v>
      </c>
      <c r="C23" s="27">
        <f>[1]Datos!I$13*B23%</f>
        <v>27440437.252410002</v>
      </c>
      <c r="D23" s="28">
        <f t="shared" si="0"/>
        <v>2.0656621003724496</v>
      </c>
      <c r="E23" s="32">
        <v>22412</v>
      </c>
      <c r="F23" s="30">
        <f t="shared" si="1"/>
        <v>2.0656621003724496</v>
      </c>
      <c r="G23" s="30">
        <f t="shared" si="2"/>
        <v>1.2393972602234697</v>
      </c>
      <c r="H23" s="31">
        <f>[1]Datos!$K$18*Consolidado!G23/100</f>
        <v>3464410.8961218046</v>
      </c>
      <c r="I23" s="28">
        <v>1.099386</v>
      </c>
      <c r="J23" s="28">
        <f t="shared" si="3"/>
        <v>5.1407695194965264</v>
      </c>
      <c r="K23" s="28">
        <f t="shared" si="4"/>
        <v>1.5422308558489579</v>
      </c>
      <c r="L23" s="32">
        <f>[1]Datos!$K$18*Consolidado!K23/100</f>
        <v>4310903.0113355508</v>
      </c>
      <c r="M23" s="33">
        <f t="shared" si="5"/>
        <v>7775313.9074573554</v>
      </c>
      <c r="N23" s="28">
        <f t="shared" si="6"/>
        <v>2.7816281160724277</v>
      </c>
      <c r="O23" s="28">
        <f t="shared" si="7"/>
        <v>0.35950168687968576</v>
      </c>
      <c r="P23" s="28">
        <f t="shared" si="8"/>
        <v>5.6409933198848687</v>
      </c>
      <c r="Q23" s="28">
        <f t="shared" si="9"/>
        <v>0.56409933198848694</v>
      </c>
      <c r="R23" s="34">
        <f>Q23*[1]Datos!$K$18/100</f>
        <v>1576792.1512780979</v>
      </c>
      <c r="S23" s="906">
        <f>FGP!U22</f>
        <v>3.3920972600975436</v>
      </c>
      <c r="T23" s="907">
        <f>FGP!T22</f>
        <v>51499809.467395343</v>
      </c>
      <c r="U23" s="908">
        <f>FFM!S22</f>
        <v>1.2761806287158</v>
      </c>
      <c r="V23" s="909">
        <f>FFM!N22</f>
        <v>0</v>
      </c>
      <c r="W23" s="910">
        <f>FFM!Q22</f>
        <v>13690764.180777309</v>
      </c>
      <c r="X23" s="911">
        <f>FOFIR!I22</f>
        <v>5.6268970196676774E-2</v>
      </c>
      <c r="Y23" s="910">
        <f>FOFIR!K22</f>
        <v>1033425.637512604</v>
      </c>
      <c r="Z23" s="912">
        <f>FOCO!J22</f>
        <v>2.8936083217094719</v>
      </c>
      <c r="AA23" s="920">
        <f>FOCO!L22</f>
        <v>2058589.5758978515</v>
      </c>
      <c r="AB23" s="911">
        <f>'IEPS TyA'!E23</f>
        <v>0.05</v>
      </c>
      <c r="AC23" s="910">
        <f>'IEPS TyA'!G23</f>
        <v>1738071.9</v>
      </c>
      <c r="AD23" s="911">
        <f>'IEPS GyD '!F22</f>
        <v>2.0163405252797348</v>
      </c>
      <c r="AE23" s="910">
        <f>'IEPS GyD '!H22</f>
        <v>1307551.7525913913</v>
      </c>
      <c r="AF23" s="921">
        <f>FGP!F22+FGP!L22+FGP!R22</f>
        <v>3.3920972600975436</v>
      </c>
      <c r="AG23" s="915">
        <f>'Incentivo ISAN'!J22</f>
        <v>405507.25102523156</v>
      </c>
      <c r="AH23" s="916">
        <f>FGP!F22+FGP!L22+FGP!R22</f>
        <v>3.3920972600975436</v>
      </c>
      <c r="AI23" s="917">
        <f>'FOCO ISAN'!J22</f>
        <v>96106.792363354762</v>
      </c>
      <c r="AJ23" s="918">
        <f>'ISR 2023'!B18</f>
        <v>2.3426172251092585</v>
      </c>
      <c r="AK23" s="922">
        <f>'ISR 2023'!O18</f>
        <v>4714056.3210929204</v>
      </c>
      <c r="AL23" s="916">
        <f>'ISR Enaje'!T23</f>
        <v>3.3920972600975436</v>
      </c>
      <c r="AM23" s="917">
        <f>'ISR Enaje'!S23</f>
        <v>1187234.0410341404</v>
      </c>
      <c r="AN23" s="24"/>
    </row>
    <row r="24" spans="1:40" ht="27" customHeight="1" x14ac:dyDescent="0.25">
      <c r="A24" s="25" t="s">
        <v>60</v>
      </c>
      <c r="B24" s="26">
        <v>8.34</v>
      </c>
      <c r="C24" s="27">
        <f>[1]Datos!I$13*B24%</f>
        <v>81442436.542740002</v>
      </c>
      <c r="D24" s="28">
        <f t="shared" si="0"/>
        <v>8.5784148817626882</v>
      </c>
      <c r="E24" s="32">
        <v>93074</v>
      </c>
      <c r="F24" s="30">
        <f t="shared" si="1"/>
        <v>8.5784148817626882</v>
      </c>
      <c r="G24" s="30">
        <f t="shared" si="2"/>
        <v>5.1470489290576129</v>
      </c>
      <c r="H24" s="31">
        <f>[1]Datos!$K$18*Consolidado!G24/100</f>
        <v>14387229.15159918</v>
      </c>
      <c r="I24" s="28">
        <v>0.94212600000000002</v>
      </c>
      <c r="J24" s="28">
        <f t="shared" si="3"/>
        <v>4.4054159542919269</v>
      </c>
      <c r="K24" s="28">
        <f t="shared" si="4"/>
        <v>1.3216247862875781</v>
      </c>
      <c r="L24" s="32">
        <f>[1]Datos!$K$18*Consolidado!K24/100</f>
        <v>3694256.4399196613</v>
      </c>
      <c r="M24" s="33">
        <f t="shared" si="5"/>
        <v>18081485.591518842</v>
      </c>
      <c r="N24" s="28">
        <f t="shared" si="6"/>
        <v>6.468673715345191</v>
      </c>
      <c r="O24" s="28">
        <f t="shared" si="7"/>
        <v>0.1545911950432387</v>
      </c>
      <c r="P24" s="28">
        <f t="shared" si="8"/>
        <v>2.4257129531739197</v>
      </c>
      <c r="Q24" s="28">
        <f t="shared" si="9"/>
        <v>0.24257129531739197</v>
      </c>
      <c r="R24" s="34">
        <f>Q24*[1]Datos!$K$18/100</f>
        <v>678044.61535797687</v>
      </c>
      <c r="S24" s="906">
        <f>FGP!U23</f>
        <v>6.3503751777162254</v>
      </c>
      <c r="T24" s="907">
        <f>FGP!T23</f>
        <v>126484199.31963773</v>
      </c>
      <c r="U24" s="908">
        <f>FFM!S23</f>
        <v>5.0677445890145982</v>
      </c>
      <c r="V24" s="909">
        <f>FFM!N23</f>
        <v>61.972463263906889</v>
      </c>
      <c r="W24" s="910">
        <f>FFM!Q23</f>
        <v>74190675.007040471</v>
      </c>
      <c r="X24" s="911">
        <f>FOFIR!I23</f>
        <v>1.0013808827982771</v>
      </c>
      <c r="Y24" s="910">
        <f>FOFIR!K23</f>
        <v>4419899.3267964078</v>
      </c>
      <c r="Z24" s="912">
        <f>FOCO!J23</f>
        <v>5.7177624010736645</v>
      </c>
      <c r="AA24" s="920">
        <f>FOCO!L23</f>
        <v>7182866.1850057952</v>
      </c>
      <c r="AB24" s="911">
        <f>'IEPS TyA'!E24</f>
        <v>0.05</v>
      </c>
      <c r="AC24" s="910">
        <f>'IEPS TyA'!G24</f>
        <v>1041453.9</v>
      </c>
      <c r="AD24" s="911">
        <f>'IEPS GyD '!F23</f>
        <v>7.6069888365105687</v>
      </c>
      <c r="AE24" s="910">
        <f>'IEPS GyD '!H23</f>
        <v>5041150.643602889</v>
      </c>
      <c r="AF24" s="921">
        <f>FGP!F23+FGP!L23+FGP!R23</f>
        <v>6.3503751777162254</v>
      </c>
      <c r="AG24" s="915">
        <f>'Incentivo ISAN'!J23</f>
        <v>759153.69868272054</v>
      </c>
      <c r="AH24" s="916">
        <f>FGP!F23+FGP!L23+FGP!R23</f>
        <v>6.3503751777162254</v>
      </c>
      <c r="AI24" s="917">
        <f>'FOCO ISAN'!J23</f>
        <v>179922.37304440528</v>
      </c>
      <c r="AJ24" s="918">
        <f>'ISR 2023'!B19</f>
        <v>8.2233574776397411</v>
      </c>
      <c r="AK24" s="922">
        <f>'ISR 2023'!O19</f>
        <v>16547889.208091324</v>
      </c>
      <c r="AL24" s="916">
        <f>'ISR Enaje'!T24</f>
        <v>6.3503751777162254</v>
      </c>
      <c r="AM24" s="917">
        <f>'ISR Enaje'!S24</f>
        <v>2222631.312200679</v>
      </c>
      <c r="AN24" s="24"/>
    </row>
    <row r="25" spans="1:40" ht="27" customHeight="1" x14ac:dyDescent="0.25">
      <c r="A25" s="25" t="s">
        <v>61</v>
      </c>
      <c r="B25" s="26">
        <v>3.5</v>
      </c>
      <c r="C25" s="27">
        <f>[1]Datos!I$13*B25%</f>
        <v>34178480.563500002</v>
      </c>
      <c r="D25" s="28">
        <f t="shared" si="0"/>
        <v>3.6642183857936419</v>
      </c>
      <c r="E25" s="32">
        <v>39756</v>
      </c>
      <c r="F25" s="30">
        <f t="shared" si="1"/>
        <v>3.6642183857936419</v>
      </c>
      <c r="G25" s="30">
        <f t="shared" si="2"/>
        <v>2.1985310314761852</v>
      </c>
      <c r="H25" s="31">
        <f>[1]Datos!$K$18*Consolidado!G25/100</f>
        <v>6145418.5073272558</v>
      </c>
      <c r="I25" s="28">
        <v>2.345564</v>
      </c>
      <c r="J25" s="28">
        <f t="shared" si="3"/>
        <v>10.967943849774647</v>
      </c>
      <c r="K25" s="28">
        <f t="shared" si="4"/>
        <v>3.2903831549323939</v>
      </c>
      <c r="L25" s="32">
        <f>[1]Datos!$K$18*Consolidado!K25/100</f>
        <v>9197405.5617228691</v>
      </c>
      <c r="M25" s="33">
        <f t="shared" si="5"/>
        <v>15342824.069050126</v>
      </c>
      <c r="N25" s="28">
        <f t="shared" si="6"/>
        <v>5.4889141864085786</v>
      </c>
      <c r="O25" s="28">
        <f t="shared" si="7"/>
        <v>0.18218539515085852</v>
      </c>
      <c r="P25" s="28">
        <f t="shared" si="8"/>
        <v>2.8586975653622453</v>
      </c>
      <c r="Q25" s="28">
        <f t="shared" si="9"/>
        <v>0.28586975653622454</v>
      </c>
      <c r="R25" s="34">
        <f>Q25*[1]Datos!$K$18/100</f>
        <v>799074.13966464216</v>
      </c>
      <c r="S25" s="906">
        <f>FGP!U24</f>
        <v>3.8052374745126212</v>
      </c>
      <c r="T25" s="907">
        <f>FGP!T24</f>
        <v>61168162.092583649</v>
      </c>
      <c r="U25" s="908">
        <f>FFM!S24</f>
        <v>1.8993898706090129</v>
      </c>
      <c r="V25" s="909">
        <f>FFM!N24</f>
        <v>0</v>
      </c>
      <c r="W25" s="910">
        <f>FFM!Q24</f>
        <v>17426023.37609262</v>
      </c>
      <c r="X25" s="911">
        <f>FOFIR!I24</f>
        <v>0.12409567696781501</v>
      </c>
      <c r="Y25" s="910">
        <f>FOFIR!K24</f>
        <v>1790578.2813454256</v>
      </c>
      <c r="Z25" s="912">
        <f>FOCO!J24</f>
        <v>3.0983141490256898</v>
      </c>
      <c r="AA25" s="920">
        <f>FOCO!L24</f>
        <v>3812749.0229661083</v>
      </c>
      <c r="AB25" s="911">
        <f>'IEPS TyA'!E25</f>
        <v>0.05</v>
      </c>
      <c r="AC25" s="910">
        <f>'IEPS TyA'!G25</f>
        <v>1531971.9</v>
      </c>
      <c r="AD25" s="911">
        <f>'IEPS GyD '!F24</f>
        <v>3.0057727673021133</v>
      </c>
      <c r="AE25" s="910">
        <f>'IEPS GyD '!H24</f>
        <v>2151779.2450877652</v>
      </c>
      <c r="AF25" s="921">
        <f>FGP!F24+FGP!L24+FGP!R24</f>
        <v>3.8052374745126216</v>
      </c>
      <c r="AG25" s="915">
        <f>'Incentivo ISAN'!J24</f>
        <v>454895.97422198777</v>
      </c>
      <c r="AH25" s="916">
        <f>FGP!F24+FGP!L24+FGP!R24</f>
        <v>3.8052374745126216</v>
      </c>
      <c r="AI25" s="917">
        <f>'FOCO ISAN'!J24</f>
        <v>107812.11145040239</v>
      </c>
      <c r="AJ25" s="918">
        <f>'ISR 2023'!B20</f>
        <v>0.12512339536434061</v>
      </c>
      <c r="AK25" s="922">
        <f>'ISR 2023'!O20</f>
        <v>251786.21864114766</v>
      </c>
      <c r="AL25" s="916">
        <f>'ISR Enaje'!T25</f>
        <v>3.8052374745126216</v>
      </c>
      <c r="AM25" s="917">
        <f>'ISR Enaje'!S25</f>
        <v>1331833.1160794175</v>
      </c>
      <c r="AN25" s="24"/>
    </row>
    <row r="26" spans="1:40" ht="27" customHeight="1" x14ac:dyDescent="0.25">
      <c r="A26" s="25" t="s">
        <v>62</v>
      </c>
      <c r="B26" s="26">
        <v>39</v>
      </c>
      <c r="C26" s="27">
        <f>[1]Datos!I$13*B26%</f>
        <v>380845926.27900004</v>
      </c>
      <c r="D26" s="28">
        <f t="shared" si="0"/>
        <v>35.046669106037996</v>
      </c>
      <c r="E26" s="32">
        <v>380249</v>
      </c>
      <c r="F26" s="30">
        <f t="shared" si="1"/>
        <v>35.046669106037996</v>
      </c>
      <c r="G26" s="30">
        <f t="shared" si="2"/>
        <v>21.028001463622797</v>
      </c>
      <c r="H26" s="31">
        <f>[1]Datos!$K$18*Consolidado!G26/100</f>
        <v>58778278.548965737</v>
      </c>
      <c r="I26" s="28">
        <v>0.84406499999999995</v>
      </c>
      <c r="J26" s="28">
        <f t="shared" si="3"/>
        <v>3.9468790984002302</v>
      </c>
      <c r="K26" s="28">
        <f t="shared" si="4"/>
        <v>1.1840637295200691</v>
      </c>
      <c r="L26" s="32">
        <f>[1]Datos!$K$18*Consolidado!K26/100</f>
        <v>3309740.482653901</v>
      </c>
      <c r="M26" s="33">
        <f t="shared" si="5"/>
        <v>62088019.031619638</v>
      </c>
      <c r="N26" s="28">
        <f t="shared" si="6"/>
        <v>22.212065193142866</v>
      </c>
      <c r="O26" s="28">
        <f t="shared" si="7"/>
        <v>4.5020577389116981E-2</v>
      </c>
      <c r="P26" s="28">
        <f t="shared" si="8"/>
        <v>0.7064244357617202</v>
      </c>
      <c r="Q26" s="28">
        <f t="shared" si="9"/>
        <v>7.0642443576172026E-2</v>
      </c>
      <c r="R26" s="34">
        <f>Q26*[1]Datos!$K$18/100</f>
        <v>197462.47559869001</v>
      </c>
      <c r="S26" s="906">
        <f>FGP!U25</f>
        <v>22.033904735981441</v>
      </c>
      <c r="T26" s="907">
        <f>FGP!T25</f>
        <v>537127387.19951069</v>
      </c>
      <c r="U26" s="908">
        <f>FFM!S25</f>
        <v>34.181424852456686</v>
      </c>
      <c r="V26" s="909">
        <f>FFM!N25</f>
        <v>0</v>
      </c>
      <c r="W26" s="910">
        <f>FFM!Q25</f>
        <v>209865618.12690854</v>
      </c>
      <c r="X26" s="911">
        <f>FOFIR!I25</f>
        <v>60.823551919949473</v>
      </c>
      <c r="Y26" s="910">
        <f>FOFIR!K25</f>
        <v>46325226.87199419</v>
      </c>
      <c r="Z26" s="912">
        <f>FOCO!J25</f>
        <v>24.219218437611406</v>
      </c>
      <c r="AA26" s="920">
        <f>FOCO!L25</f>
        <v>24835114.276025385</v>
      </c>
      <c r="AB26" s="911">
        <f>'IEPS TyA'!E26</f>
        <v>0.05</v>
      </c>
      <c r="AC26" s="910">
        <f>'IEPS TyA'!G26</f>
        <v>767340.9</v>
      </c>
      <c r="AD26" s="911">
        <f>'IEPS GyD '!F25</f>
        <v>34.475044032324909</v>
      </c>
      <c r="AE26" s="910">
        <f>'IEPS GyD '!H25</f>
        <v>20971222.585604183</v>
      </c>
      <c r="AF26" s="921">
        <f>FGP!F25+FGP!L25+FGP!R25</f>
        <v>22.033904735981441</v>
      </c>
      <c r="AG26" s="915">
        <f>'Incentivo ISAN'!J25</f>
        <v>2634036.5425084331</v>
      </c>
      <c r="AH26" s="916">
        <f>FGP!F25+FGP!L25+FGP!R25</f>
        <v>22.033904735981441</v>
      </c>
      <c r="AI26" s="917">
        <f>'FOCO ISAN'!J25</f>
        <v>624276.88389866892</v>
      </c>
      <c r="AJ26" s="918">
        <f>'ISR 2023'!B21</f>
        <v>27.055570008526342</v>
      </c>
      <c r="AK26" s="922">
        <f>'ISR 2023'!O21</f>
        <v>54444012.215233825</v>
      </c>
      <c r="AL26" s="916">
        <f>'ISR Enaje'!T26</f>
        <v>22.033904735981441</v>
      </c>
      <c r="AM26" s="917">
        <f>'ISR Enaje'!S26</f>
        <v>7711866.6575935036</v>
      </c>
      <c r="AN26" s="24"/>
    </row>
    <row r="27" spans="1:40" ht="27" customHeight="1" x14ac:dyDescent="0.25">
      <c r="A27" s="25" t="s">
        <v>63</v>
      </c>
      <c r="B27" s="26">
        <v>3.79</v>
      </c>
      <c r="C27" s="27">
        <f>[1]Datos!I$13*B27%</f>
        <v>37010411.810190007</v>
      </c>
      <c r="D27" s="28">
        <f t="shared" si="0"/>
        <v>2.7677955057194654</v>
      </c>
      <c r="E27" s="32">
        <v>30030</v>
      </c>
      <c r="F27" s="30">
        <f t="shared" si="1"/>
        <v>2.7677955057194654</v>
      </c>
      <c r="G27" s="30">
        <f t="shared" si="2"/>
        <v>1.6606773034316793</v>
      </c>
      <c r="H27" s="31">
        <f>[1]Datos!$K$18*Consolidado!G27/100</f>
        <v>4641989.0777502144</v>
      </c>
      <c r="I27" s="28">
        <v>0.97075900000000004</v>
      </c>
      <c r="J27" s="28">
        <f t="shared" si="3"/>
        <v>4.5393049192703279</v>
      </c>
      <c r="K27" s="28">
        <f t="shared" si="4"/>
        <v>1.3617914757810983</v>
      </c>
      <c r="L27" s="32">
        <f>[1]Datos!$K$18*Consolidado!K27/100</f>
        <v>3806531.9154337854</v>
      </c>
      <c r="M27" s="33">
        <f t="shared" si="5"/>
        <v>8448520.9931840003</v>
      </c>
      <c r="N27" s="28">
        <f t="shared" si="6"/>
        <v>3.0224687792127778</v>
      </c>
      <c r="O27" s="28">
        <f t="shared" si="7"/>
        <v>0.33085536131177395</v>
      </c>
      <c r="P27" s="28">
        <f t="shared" si="8"/>
        <v>5.1914996538873615</v>
      </c>
      <c r="Q27" s="28">
        <f t="shared" si="9"/>
        <v>0.51914996538873615</v>
      </c>
      <c r="R27" s="34">
        <f>Q27*[1]Datos!$K$18/100</f>
        <v>1451147.9527473762</v>
      </c>
      <c r="S27" s="906">
        <f>FGP!U26</f>
        <v>2.9622596926133999</v>
      </c>
      <c r="T27" s="907">
        <f>FGP!T26</f>
        <v>58021044.19399859</v>
      </c>
      <c r="U27" s="908">
        <f>FFM!S26</f>
        <v>1.3776489282856625</v>
      </c>
      <c r="V27" s="909">
        <f>FFM!N26</f>
        <v>17.954076002816439</v>
      </c>
      <c r="W27" s="910">
        <f>FFM!Q26</f>
        <v>27326081.746666752</v>
      </c>
      <c r="X27" s="911">
        <f>FOFIR!I26</f>
        <v>4.077705769101999E-2</v>
      </c>
      <c r="Y27" s="910">
        <f>FOFIR!K26</f>
        <v>1342975.7274397172</v>
      </c>
      <c r="Z27" s="912">
        <f>FOCO!J26</f>
        <v>2.931527964862414</v>
      </c>
      <c r="AA27" s="920">
        <f>FOCO!L26</f>
        <v>2412106.6475583208</v>
      </c>
      <c r="AB27" s="911">
        <f>'IEPS TyA'!E27</f>
        <v>0.05</v>
      </c>
      <c r="AC27" s="910">
        <f>'IEPS TyA'!G27</f>
        <v>1468080.9</v>
      </c>
      <c r="AD27" s="911">
        <f>'IEPS GyD '!F26</f>
        <v>2.4334334852880231</v>
      </c>
      <c r="AE27" s="910">
        <f>'IEPS GyD '!H26</f>
        <v>1674575.6880899037</v>
      </c>
      <c r="AF27" s="921">
        <f>FGP!F26+FGP!L26+FGP!R26</f>
        <v>2.9622596926133999</v>
      </c>
      <c r="AG27" s="915">
        <f>'Incentivo ISAN'!J26</f>
        <v>354122.44775669102</v>
      </c>
      <c r="AH27" s="916">
        <f>FGP!F26+FGP!L26+FGP!R26</f>
        <v>2.9622596926133999</v>
      </c>
      <c r="AI27" s="917">
        <f>'FOCO ISAN'!J26</f>
        <v>83928.394552031343</v>
      </c>
      <c r="AJ27" s="918">
        <f>'ISR 2023'!B22</f>
        <v>3.411784960531373</v>
      </c>
      <c r="AK27" s="922">
        <f>'ISR 2023'!O22</f>
        <v>6865546.0597719122</v>
      </c>
      <c r="AL27" s="916">
        <f>'ISR Enaje'!T27</f>
        <v>2.9622596926133999</v>
      </c>
      <c r="AM27" s="917">
        <f>'ISR Enaje'!S27</f>
        <v>1036790.89241469</v>
      </c>
      <c r="AN27" s="24"/>
    </row>
    <row r="28" spans="1:40" ht="27" customHeight="1" thickBot="1" x14ac:dyDescent="0.3">
      <c r="A28" s="35" t="s">
        <v>64</v>
      </c>
      <c r="B28" s="36">
        <v>3.1</v>
      </c>
      <c r="C28" s="37">
        <f>[1]Datos!I$13*B28%</f>
        <v>30272368.4991</v>
      </c>
      <c r="D28" s="38">
        <f t="shared" si="0"/>
        <v>4.5256175465147246</v>
      </c>
      <c r="E28" s="39">
        <v>49102</v>
      </c>
      <c r="F28" s="40">
        <f t="shared" si="1"/>
        <v>4.5256175465147246</v>
      </c>
      <c r="G28" s="40">
        <f t="shared" si="2"/>
        <v>2.7153705279088345</v>
      </c>
      <c r="H28" s="41">
        <f>[1]Datos!$K$18*Consolidado!G28/100</f>
        <v>7590108.1483746581</v>
      </c>
      <c r="I28" s="38">
        <v>1.0003390000000001</v>
      </c>
      <c r="J28" s="38">
        <f t="shared" si="3"/>
        <v>4.6776220912069428</v>
      </c>
      <c r="K28" s="38">
        <f t="shared" si="4"/>
        <v>1.4032866273620828</v>
      </c>
      <c r="L28" s="39">
        <f>[1]Datos!$K$18*Consolidado!K28/100</f>
        <v>3922520.7592750802</v>
      </c>
      <c r="M28" s="42">
        <f t="shared" si="5"/>
        <v>11512628.907649739</v>
      </c>
      <c r="N28" s="38">
        <f t="shared" si="6"/>
        <v>4.1186571552709168</v>
      </c>
      <c r="O28" s="38">
        <f t="shared" si="7"/>
        <v>0.24279758239168661</v>
      </c>
      <c r="P28" s="38">
        <f t="shared" si="8"/>
        <v>3.80977222177561</v>
      </c>
      <c r="Q28" s="38">
        <f t="shared" si="9"/>
        <v>0.38097722217756103</v>
      </c>
      <c r="R28" s="43">
        <f>Q28*[1]Datos!$K$18/100</f>
        <v>1064922.1860053025</v>
      </c>
      <c r="S28" s="906">
        <f>FGP!U27</f>
        <v>4.8639447149885555</v>
      </c>
      <c r="T28" s="907">
        <f>FGP!T27</f>
        <v>64771219.020754933</v>
      </c>
      <c r="U28" s="908">
        <f>FFM!S27</f>
        <v>5.3441744416599857</v>
      </c>
      <c r="V28" s="909">
        <f>FFM!N27</f>
        <v>0</v>
      </c>
      <c r="W28" s="910">
        <f>FFM!Q27</f>
        <v>19848336.112013232</v>
      </c>
      <c r="X28" s="923">
        <f>FOFIR!I27</f>
        <v>1.4866941600054797</v>
      </c>
      <c r="Y28" s="924">
        <f>FOFIR!K27</f>
        <v>2743086.2411631951</v>
      </c>
      <c r="Z28" s="912">
        <f>FOCO!J27</f>
        <v>4.2618673965262408</v>
      </c>
      <c r="AA28" s="925">
        <f>FOCO!L27</f>
        <v>3446860.6388979373</v>
      </c>
      <c r="AB28" s="923">
        <f>'IEPS TyA'!E28</f>
        <v>0.05</v>
      </c>
      <c r="AC28" s="910">
        <f>'IEPS TyA'!G28</f>
        <v>1639143.9</v>
      </c>
      <c r="AD28" s="923">
        <f>'IEPS GyD '!F27</f>
        <v>5.2797509583506006</v>
      </c>
      <c r="AE28" s="924">
        <f>'IEPS GyD '!H27</f>
        <v>2860084.4986866792</v>
      </c>
      <c r="AF28" s="926">
        <f>FGP!F27+FGP!L27+FGP!R27</f>
        <v>4.8639447149885564</v>
      </c>
      <c r="AG28" s="915">
        <f>'Incentivo ISAN'!J27</f>
        <v>581458.81420186476</v>
      </c>
      <c r="AH28" s="916">
        <f>FGP!F27+FGP!L27+FGP!R27</f>
        <v>4.8639447149885564</v>
      </c>
      <c r="AI28" s="917">
        <f>'FOCO ISAN'!J27</f>
        <v>137807.99574620673</v>
      </c>
      <c r="AJ28" s="918">
        <f>'ISR 2023'!B23</f>
        <v>6.6228570003625986</v>
      </c>
      <c r="AK28" s="927">
        <f>'ISR 2023'!O23</f>
        <v>13327196.851289989</v>
      </c>
      <c r="AL28" s="916">
        <f>'ISR Enaje'!T28</f>
        <v>4.8639447149885564</v>
      </c>
      <c r="AM28" s="917">
        <f>'ISR Enaje'!S28</f>
        <v>1702380.6502459946</v>
      </c>
      <c r="AN28" s="24"/>
    </row>
    <row r="29" spans="1:40" ht="15.75" thickBot="1" x14ac:dyDescent="0.3">
      <c r="A29" s="44" t="s">
        <v>65</v>
      </c>
      <c r="B29" s="45">
        <f>SUM(B9:B28)</f>
        <v>100</v>
      </c>
      <c r="C29" s="46">
        <f>SUM(C9:C28)</f>
        <v>976528016.0999999</v>
      </c>
      <c r="D29" s="47">
        <f>SUM(D9:D28)</f>
        <v>99.999999999999986</v>
      </c>
      <c r="E29" s="48">
        <f>SUM(E9:E28)</f>
        <v>1084979</v>
      </c>
      <c r="F29" s="49">
        <f t="shared" si="1"/>
        <v>99.999999999999986</v>
      </c>
      <c r="G29" s="49">
        <f t="shared" ref="G29:L29" si="10">SUM(G9:G28)</f>
        <v>59.999999999999993</v>
      </c>
      <c r="H29" s="50">
        <f t="shared" si="10"/>
        <v>167714307.94499996</v>
      </c>
      <c r="I29" s="51">
        <f t="shared" si="10"/>
        <v>21.385630999999997</v>
      </c>
      <c r="J29" s="52">
        <f t="shared" si="10"/>
        <v>100.00000000000001</v>
      </c>
      <c r="K29" s="52">
        <f t="shared" si="10"/>
        <v>29.999999999999996</v>
      </c>
      <c r="L29" s="53">
        <f t="shared" si="10"/>
        <v>83857153.972500011</v>
      </c>
      <c r="M29" s="54">
        <f t="shared" si="5"/>
        <v>251571461.91749996</v>
      </c>
      <c r="N29" s="52">
        <f t="shared" ref="N29:T29" si="11">SUM(N9:N28)</f>
        <v>90</v>
      </c>
      <c r="O29" s="52">
        <f t="shared" si="11"/>
        <v>6.3730209644535289</v>
      </c>
      <c r="P29" s="52">
        <f t="shared" si="11"/>
        <v>100</v>
      </c>
      <c r="Q29" s="51">
        <f t="shared" si="11"/>
        <v>10.000000000000002</v>
      </c>
      <c r="R29" s="55">
        <f t="shared" si="11"/>
        <v>27952384.657499999</v>
      </c>
      <c r="S29" s="928">
        <f>SUM(S9:S28)</f>
        <v>100</v>
      </c>
      <c r="T29" s="929">
        <f t="shared" si="11"/>
        <v>1685805208.6500001</v>
      </c>
      <c r="U29" s="930">
        <v>100</v>
      </c>
      <c r="V29" s="931">
        <v>100</v>
      </c>
      <c r="W29" s="932">
        <f>SUM(W9:W28)</f>
        <v>604667887</v>
      </c>
      <c r="X29" s="933">
        <v>100</v>
      </c>
      <c r="Y29" s="934">
        <f t="shared" ref="Y29:AE29" si="12">SUM(Y9:Y28)</f>
        <v>94573549.350000009</v>
      </c>
      <c r="Z29" s="935">
        <f t="shared" si="12"/>
        <v>99.999999999999986</v>
      </c>
      <c r="AA29" s="932">
        <f t="shared" si="12"/>
        <v>87498951.974999994</v>
      </c>
      <c r="AB29" s="933">
        <v>100</v>
      </c>
      <c r="AC29" s="932">
        <f>SUM(AC9:AC28)+5</f>
        <v>34431682.999999985</v>
      </c>
      <c r="AD29" s="933">
        <v>99.999999999999986</v>
      </c>
      <c r="AE29" s="932">
        <f t="shared" si="12"/>
        <v>59764644.450000003</v>
      </c>
      <c r="AF29" s="933">
        <f>SUM(AF9:AF28)</f>
        <v>100</v>
      </c>
      <c r="AG29" s="932">
        <f>SUM(AG9:AG28)</f>
        <v>11954470.050000001</v>
      </c>
      <c r="AH29" s="936">
        <f>SUM(AH9:AH28)</f>
        <v>100</v>
      </c>
      <c r="AI29" s="937">
        <f>SUM(AI9:AI28)</f>
        <v>2833255.8</v>
      </c>
      <c r="AJ29" s="938">
        <f t="shared" ref="AJ29" si="13">SUM(AJ9:AJ28)</f>
        <v>100.00000000000001</v>
      </c>
      <c r="AK29" s="937">
        <f>SUM(AK9:AK28)</f>
        <v>201230327.796</v>
      </c>
      <c r="AL29" s="936">
        <f>SUM(AL9:AL28)</f>
        <v>100</v>
      </c>
      <c r="AM29" s="937">
        <f>SUM(AM9:AM28)</f>
        <v>35000000</v>
      </c>
    </row>
    <row r="30" spans="1:40" x14ac:dyDescent="0.25">
      <c r="A30" s="8"/>
      <c r="B30" s="56"/>
      <c r="C30" s="8"/>
      <c r="D30" s="8"/>
      <c r="E30" s="8"/>
      <c r="F30" s="8"/>
      <c r="G30" s="8"/>
      <c r="H30" s="57"/>
    </row>
    <row r="31" spans="1:40" x14ac:dyDescent="0.25">
      <c r="A31" s="8"/>
      <c r="B31" s="8"/>
      <c r="C31" s="8"/>
      <c r="D31" s="8"/>
      <c r="E31" s="8"/>
      <c r="F31" s="8"/>
      <c r="G31" s="8"/>
      <c r="H31" s="57"/>
      <c r="T31" s="58"/>
      <c r="U31" s="58"/>
      <c r="V31" s="58"/>
    </row>
    <row r="34" spans="24:30" x14ac:dyDescent="0.25">
      <c r="X34" t="s">
        <v>362</v>
      </c>
      <c r="AC34" s="181"/>
      <c r="AD34" s="181"/>
    </row>
    <row r="35" spans="24:30" x14ac:dyDescent="0.25">
      <c r="AC35" s="181"/>
      <c r="AD35" s="181"/>
    </row>
    <row r="36" spans="24:30" x14ac:dyDescent="0.25">
      <c r="AC36" s="181"/>
      <c r="AD36" s="181"/>
    </row>
    <row r="37" spans="24:30" x14ac:dyDescent="0.25">
      <c r="AC37" s="181"/>
      <c r="AD37" s="181"/>
    </row>
    <row r="38" spans="24:30" x14ac:dyDescent="0.25">
      <c r="AC38" s="181"/>
      <c r="AD38" s="181"/>
    </row>
    <row r="39" spans="24:30" x14ac:dyDescent="0.25">
      <c r="AC39" s="181"/>
      <c r="AD39" s="181"/>
    </row>
    <row r="40" spans="24:30" x14ac:dyDescent="0.25">
      <c r="AC40" s="181"/>
      <c r="AD40" s="181"/>
    </row>
    <row r="41" spans="24:30" x14ac:dyDescent="0.25">
      <c r="AC41" s="181"/>
      <c r="AD41" s="181"/>
    </row>
    <row r="42" spans="24:30" x14ac:dyDescent="0.25">
      <c r="AC42" s="181"/>
      <c r="AD42" s="181"/>
    </row>
    <row r="43" spans="24:30" x14ac:dyDescent="0.25">
      <c r="AC43" s="181"/>
      <c r="AD43" s="181"/>
    </row>
    <row r="44" spans="24:30" x14ac:dyDescent="0.25">
      <c r="AC44" s="181"/>
      <c r="AD44" s="181"/>
    </row>
    <row r="45" spans="24:30" x14ac:dyDescent="0.25">
      <c r="AC45" s="181"/>
      <c r="AD45" s="181"/>
    </row>
    <row r="46" spans="24:30" x14ac:dyDescent="0.25">
      <c r="AC46" s="181"/>
      <c r="AD46" s="181"/>
    </row>
    <row r="47" spans="24:30" x14ac:dyDescent="0.25">
      <c r="AC47" s="181"/>
      <c r="AD47" s="181"/>
    </row>
    <row r="48" spans="24:30" x14ac:dyDescent="0.25">
      <c r="AC48" s="181"/>
      <c r="AD48" s="181"/>
    </row>
    <row r="49" spans="29:30" x14ac:dyDescent="0.25">
      <c r="AC49" s="181"/>
      <c r="AD49" s="181"/>
    </row>
    <row r="50" spans="29:30" x14ac:dyDescent="0.25">
      <c r="AC50" s="181"/>
      <c r="AD50" s="181"/>
    </row>
    <row r="51" spans="29:30" x14ac:dyDescent="0.25">
      <c r="AC51" s="181"/>
      <c r="AD51" s="181"/>
    </row>
    <row r="52" spans="29:30" x14ac:dyDescent="0.25">
      <c r="AC52" s="181"/>
      <c r="AD52" s="181"/>
    </row>
    <row r="53" spans="29:30" x14ac:dyDescent="0.25">
      <c r="AC53" s="181"/>
      <c r="AD53" s="181"/>
    </row>
    <row r="54" spans="29:30" x14ac:dyDescent="0.25">
      <c r="AC54" s="181"/>
      <c r="AD54" s="181"/>
    </row>
    <row r="55" spans="29:30" x14ac:dyDescent="0.25">
      <c r="AC55" s="181"/>
    </row>
    <row r="56" spans="29:30" x14ac:dyDescent="0.25">
      <c r="AC56" s="181"/>
    </row>
    <row r="57" spans="29:30" x14ac:dyDescent="0.25">
      <c r="AC57" s="181"/>
    </row>
    <row r="58" spans="29:30" x14ac:dyDescent="0.25">
      <c r="AC58" s="181"/>
    </row>
    <row r="59" spans="29:30" x14ac:dyDescent="0.25">
      <c r="AC59" s="181"/>
    </row>
    <row r="60" spans="29:30" x14ac:dyDescent="0.25">
      <c r="AC60" s="181"/>
    </row>
    <row r="61" spans="29:30" x14ac:dyDescent="0.25">
      <c r="AC61" s="181"/>
    </row>
    <row r="62" spans="29:30" x14ac:dyDescent="0.25">
      <c r="AC62" s="181"/>
    </row>
    <row r="63" spans="29:30" x14ac:dyDescent="0.25">
      <c r="AC63" s="181"/>
    </row>
    <row r="64" spans="29:30" x14ac:dyDescent="0.25">
      <c r="AC64" s="181"/>
    </row>
    <row r="65" spans="29:29" x14ac:dyDescent="0.25">
      <c r="AC65" s="181"/>
    </row>
    <row r="66" spans="29:29" x14ac:dyDescent="0.25">
      <c r="AC66" s="181"/>
    </row>
    <row r="67" spans="29:29" x14ac:dyDescent="0.25">
      <c r="AC67" s="181"/>
    </row>
    <row r="68" spans="29:29" x14ac:dyDescent="0.25">
      <c r="AC68" s="181"/>
    </row>
    <row r="69" spans="29:29" x14ac:dyDescent="0.25">
      <c r="AC69" s="181"/>
    </row>
    <row r="70" spans="29:29" x14ac:dyDescent="0.25">
      <c r="AC70" s="181"/>
    </row>
    <row r="71" spans="29:29" x14ac:dyDescent="0.25">
      <c r="AC71" s="181"/>
    </row>
    <row r="72" spans="29:29" x14ac:dyDescent="0.25">
      <c r="AC72" s="181"/>
    </row>
    <row r="73" spans="29:29" x14ac:dyDescent="0.25">
      <c r="AC73" s="181"/>
    </row>
    <row r="74" spans="29:29" x14ac:dyDescent="0.25">
      <c r="AC74" s="181"/>
    </row>
    <row r="75" spans="29:29" x14ac:dyDescent="0.25">
      <c r="AC75" s="181"/>
    </row>
    <row r="76" spans="29:29" x14ac:dyDescent="0.25">
      <c r="AC76" s="181"/>
    </row>
    <row r="77" spans="29:29" x14ac:dyDescent="0.25">
      <c r="AC77" s="181"/>
    </row>
    <row r="78" spans="29:29" x14ac:dyDescent="0.25">
      <c r="AC78" s="181"/>
    </row>
    <row r="79" spans="29:29" x14ac:dyDescent="0.25">
      <c r="AC79" s="181"/>
    </row>
    <row r="80" spans="29:29" x14ac:dyDescent="0.25">
      <c r="AC80" s="181"/>
    </row>
    <row r="81" spans="29:29" x14ac:dyDescent="0.25">
      <c r="AC81" s="181"/>
    </row>
    <row r="82" spans="29:29" x14ac:dyDescent="0.25">
      <c r="AC82" s="181"/>
    </row>
    <row r="83" spans="29:29" x14ac:dyDescent="0.25">
      <c r="AC83" s="181"/>
    </row>
    <row r="84" spans="29:29" x14ac:dyDescent="0.25">
      <c r="AC84" s="181"/>
    </row>
    <row r="85" spans="29:29" x14ac:dyDescent="0.25">
      <c r="AC85" s="181"/>
    </row>
    <row r="86" spans="29:29" x14ac:dyDescent="0.25">
      <c r="AC86" s="181"/>
    </row>
    <row r="87" spans="29:29" x14ac:dyDescent="0.25">
      <c r="AC87" s="181"/>
    </row>
  </sheetData>
  <mergeCells count="45">
    <mergeCell ref="A1:AM1"/>
    <mergeCell ref="AH4:AI4"/>
    <mergeCell ref="B5:B7"/>
    <mergeCell ref="E5:H5"/>
    <mergeCell ref="I5:L5"/>
    <mergeCell ref="M5:M8"/>
    <mergeCell ref="AC5:AC7"/>
    <mergeCell ref="AE5:AE7"/>
    <mergeCell ref="AI5:AI7"/>
    <mergeCell ref="D6:E6"/>
    <mergeCell ref="I6:I7"/>
    <mergeCell ref="J6:J7"/>
    <mergeCell ref="L6:L7"/>
    <mergeCell ref="N6:N8"/>
    <mergeCell ref="D7:E7"/>
    <mergeCell ref="N5:R5"/>
    <mergeCell ref="AL4:AM4"/>
    <mergeCell ref="AL5:AL8"/>
    <mergeCell ref="AM5:AM7"/>
    <mergeCell ref="X5:X8"/>
    <mergeCell ref="AB5:AB8"/>
    <mergeCell ref="AD5:AD8"/>
    <mergeCell ref="AF5:AF8"/>
    <mergeCell ref="AH5:AH8"/>
    <mergeCell ref="AF4:AG4"/>
    <mergeCell ref="AG5:AG7"/>
    <mergeCell ref="AJ4:AK4"/>
    <mergeCell ref="AJ5:AJ8"/>
    <mergeCell ref="AK5:AK7"/>
    <mergeCell ref="Z4:AA4"/>
    <mergeCell ref="Z5:Z8"/>
    <mergeCell ref="AA5:AA7"/>
    <mergeCell ref="AB4:AC4"/>
    <mergeCell ref="AD4:AE4"/>
    <mergeCell ref="A3:T3"/>
    <mergeCell ref="A4:A8"/>
    <mergeCell ref="S4:T4"/>
    <mergeCell ref="U4:W4"/>
    <mergeCell ref="X4:Y4"/>
    <mergeCell ref="W5:W7"/>
    <mergeCell ref="Y5:Y7"/>
    <mergeCell ref="S5:S8"/>
    <mergeCell ref="U5:U8"/>
    <mergeCell ref="T5:T7"/>
    <mergeCell ref="V5:V8"/>
  </mergeCells>
  <pageMargins left="0.9055118110236221" right="0.15748031496062992" top="0.74803149606299213" bottom="0.74803149606299213" header="0.31496062992125984" footer="0.31496062992125984"/>
  <pageSetup paperSize="5" scale="4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R28"/>
  <sheetViews>
    <sheetView workbookViewId="0">
      <selection sqref="A1:O1"/>
    </sheetView>
  </sheetViews>
  <sheetFormatPr baseColWidth="10" defaultRowHeight="12.75" x14ac:dyDescent="0.2"/>
  <cols>
    <col min="1" max="1" width="16" style="597" customWidth="1"/>
    <col min="2" max="2" width="9.28515625" style="597" hidden="1" customWidth="1"/>
    <col min="3" max="10" width="9.7109375" style="597" customWidth="1"/>
    <col min="11" max="11" width="11.7109375" style="597" customWidth="1"/>
    <col min="12" max="15" width="9.7109375" style="597" customWidth="1"/>
    <col min="16" max="17" width="11.42578125" style="597"/>
    <col min="18" max="18" width="13.7109375" style="597" bestFit="1" customWidth="1"/>
    <col min="19" max="16384" width="11.42578125" style="597"/>
  </cols>
  <sheetData>
    <row r="1" spans="1:15" x14ac:dyDescent="0.2">
      <c r="A1" s="1255" t="s">
        <v>482</v>
      </c>
      <c r="B1" s="1255"/>
      <c r="C1" s="1255"/>
      <c r="D1" s="1255"/>
      <c r="E1" s="1255"/>
      <c r="F1" s="1255"/>
      <c r="G1" s="1255"/>
      <c r="H1" s="1255"/>
      <c r="I1" s="1255"/>
      <c r="J1" s="1255"/>
      <c r="K1" s="1255"/>
      <c r="L1" s="1255"/>
      <c r="M1" s="1255"/>
      <c r="N1" s="1255"/>
      <c r="O1" s="1255"/>
    </row>
    <row r="2" spans="1:15" ht="13.5" thickBot="1" x14ac:dyDescent="0.25"/>
    <row r="3" spans="1:15" ht="34.5" thickBot="1" x14ac:dyDescent="0.25">
      <c r="A3" s="897" t="s">
        <v>343</v>
      </c>
      <c r="B3" s="901" t="s">
        <v>281</v>
      </c>
      <c r="C3" s="897" t="s">
        <v>1</v>
      </c>
      <c r="D3" s="899" t="s">
        <v>2</v>
      </c>
      <c r="E3" s="897" t="s">
        <v>3</v>
      </c>
      <c r="F3" s="899" t="s">
        <v>4</v>
      </c>
      <c r="G3" s="897" t="s">
        <v>5</v>
      </c>
      <c r="H3" s="897" t="s">
        <v>6</v>
      </c>
      <c r="I3" s="897" t="s">
        <v>7</v>
      </c>
      <c r="J3" s="899" t="s">
        <v>8</v>
      </c>
      <c r="K3" s="897" t="s">
        <v>9</v>
      </c>
      <c r="L3" s="899" t="s">
        <v>10</v>
      </c>
      <c r="M3" s="897" t="s">
        <v>11</v>
      </c>
      <c r="N3" s="897" t="s">
        <v>12</v>
      </c>
      <c r="O3" s="900" t="s">
        <v>168</v>
      </c>
    </row>
    <row r="4" spans="1:15" x14ac:dyDescent="0.2">
      <c r="A4" s="602" t="s">
        <v>282</v>
      </c>
      <c r="B4" s="622"/>
      <c r="C4" s="604">
        <f>'F.F.M30%'!C7+'F.F.M.70%'!C7+'F.F.M.ESTIIMACIONES 2014'!C7</f>
        <v>1503824.4752925038</v>
      </c>
      <c r="D4" s="604">
        <f>'F.F.M30%'!D7+'F.F.M.70%'!D7+'F.F.M.ESTIIMACIONES 2014'!D7</f>
        <v>1942622.1220242432</v>
      </c>
      <c r="E4" s="604">
        <f>'F.F.M30%'!E7+'F.F.M.70%'!E7+'F.F.M.ESTIIMACIONES 2014'!E7</f>
        <v>1395057.6167066393</v>
      </c>
      <c r="F4" s="604">
        <f>'F.F.M30%'!F7+'F.F.M.70%'!F7+'F.F.M.ESTIIMACIONES 2014'!F7</f>
        <v>1662577.7484465591</v>
      </c>
      <c r="G4" s="604">
        <f>'F.F.M30%'!G7+'F.F.M.70%'!G7+'F.F.M.ESTIIMACIONES 2014'!G7</f>
        <v>1599698.5691329311</v>
      </c>
      <c r="H4" s="604">
        <f>'F.F.M30%'!H7+'F.F.M.70%'!H7+'F.F.M.ESTIIMACIONES 2014'!H7</f>
        <v>1594600.3054722454</v>
      </c>
      <c r="I4" s="604">
        <f>'F.F.M30%'!I7+'F.F.M.70%'!I7+'F.F.M.ESTIIMACIONES 2014'!I7</f>
        <v>1553989.5238400209</v>
      </c>
      <c r="J4" s="604">
        <f>'F.F.M30%'!J7+'F.F.M.70%'!J7+'F.F.M.ESTIIMACIONES 2014'!J7</f>
        <v>1474363.9101193848</v>
      </c>
      <c r="K4" s="604">
        <f>'F.F.M30%'!K7+'F.F.M.70%'!K7+'F.F.M.ESTIIMACIONES 2014'!K7</f>
        <v>1495165.9543303121</v>
      </c>
      <c r="L4" s="604">
        <f>'F.F.M30%'!L7+'F.F.M.70%'!L7+'F.F.M.ESTIIMACIONES 2014'!L7</f>
        <v>1272815.5285268098</v>
      </c>
      <c r="M4" s="604">
        <f>'F.F.M30%'!M7+'F.F.M.70%'!M7+'F.F.M.ESTIIMACIONES 2014'!M7</f>
        <v>1391797.7206724342</v>
      </c>
      <c r="N4" s="604">
        <f>'F.F.M30%'!N7+'F.F.M.70%'!N7+'F.F.M.ESTIIMACIONES 2014'!N7</f>
        <v>1499938.7720688102</v>
      </c>
      <c r="O4" s="605">
        <f t="shared" ref="O4:O24" si="0">SUM(C4:N4)</f>
        <v>18386452.246632893</v>
      </c>
    </row>
    <row r="5" spans="1:15" x14ac:dyDescent="0.2">
      <c r="A5" s="602" t="s">
        <v>147</v>
      </c>
      <c r="B5" s="622"/>
      <c r="C5" s="604">
        <f>'F.F.M30%'!C8+'F.F.M.70%'!C8+'F.F.M.ESTIIMACIONES 2014'!C8</f>
        <v>977938.86978601245</v>
      </c>
      <c r="D5" s="604">
        <f>'F.F.M30%'!D8+'F.F.M.70%'!D8+'F.F.M.ESTIIMACIONES 2014'!D8</f>
        <v>1225181.0063763894</v>
      </c>
      <c r="E5" s="604">
        <f>'F.F.M30%'!E8+'F.F.M.70%'!E8+'F.F.M.ESTIIMACIONES 2014'!E8</f>
        <v>920651.81527922163</v>
      </c>
      <c r="F5" s="604">
        <f>'F.F.M30%'!F8+'F.F.M.70%'!F8+'F.F.M.ESTIIMACIONES 2014'!F8</f>
        <v>1073168.2154800242</v>
      </c>
      <c r="G5" s="604">
        <f>'F.F.M30%'!G8+'F.F.M.70%'!G8+'F.F.M.ESTIIMACIONES 2014'!G8</f>
        <v>997591.19678092923</v>
      </c>
      <c r="H5" s="604">
        <f>'F.F.M30%'!H8+'F.F.M.70%'!H8+'F.F.M.ESTIIMACIONES 2014'!H8</f>
        <v>1013296.9304029156</v>
      </c>
      <c r="I5" s="604">
        <f>'F.F.M30%'!I8+'F.F.M.70%'!I8+'F.F.M.ESTIIMACIONES 2014'!I8</f>
        <v>1026735.5169569432</v>
      </c>
      <c r="J5" s="604">
        <f>'F.F.M30%'!J8+'F.F.M.70%'!J8+'F.F.M.ESTIIMACIONES 2014'!J8</f>
        <v>947077.3843984378</v>
      </c>
      <c r="K5" s="604">
        <f>'F.F.M30%'!K8+'F.F.M.70%'!K8+'F.F.M.ESTIIMACIONES 2014'!K8</f>
        <v>986972.8385617868</v>
      </c>
      <c r="L5" s="604">
        <f>'F.F.M30%'!L8+'F.F.M.70%'!L8+'F.F.M.ESTIIMACIONES 2014'!L8</f>
        <v>882979.94750473811</v>
      </c>
      <c r="M5" s="604">
        <f>'F.F.M30%'!M8+'F.F.M.70%'!M8+'F.F.M.ESTIIMACIONES 2014'!M8</f>
        <v>908630.01202817168</v>
      </c>
      <c r="N5" s="604">
        <f>'F.F.M30%'!N8+'F.F.M.70%'!N8+'F.F.M.ESTIIMACIONES 2014'!N8</f>
        <v>990754.62689197517</v>
      </c>
      <c r="O5" s="605">
        <f t="shared" si="0"/>
        <v>11950978.360447545</v>
      </c>
    </row>
    <row r="6" spans="1:15" x14ac:dyDescent="0.2">
      <c r="A6" s="602" t="s">
        <v>148</v>
      </c>
      <c r="B6" s="622"/>
      <c r="C6" s="604">
        <f>'F.F.M30%'!C9+'F.F.M.70%'!C9+'F.F.M.ESTIIMACIONES 2014'!C9</f>
        <v>891574.60171293782</v>
      </c>
      <c r="D6" s="604">
        <f>'F.F.M30%'!D9+'F.F.M.70%'!D9+'F.F.M.ESTIIMACIONES 2014'!D9</f>
        <v>1091294.1044060732</v>
      </c>
      <c r="E6" s="604">
        <f>'F.F.M30%'!E9+'F.F.M.70%'!E9+'F.F.M.ESTIIMACIONES 2014'!E9</f>
        <v>848409.11044672306</v>
      </c>
      <c r="F6" s="604">
        <f>'F.F.M30%'!F9+'F.F.M.70%'!F9+'F.F.M.ESTIIMACIONES 2014'!F9</f>
        <v>972995.92888504139</v>
      </c>
      <c r="G6" s="604">
        <f>'F.F.M30%'!G9+'F.F.M.70%'!G9+'F.F.M.ESTIIMACIONES 2014'!G9</f>
        <v>880711.87267109216</v>
      </c>
      <c r="H6" s="604">
        <f>'F.F.M30%'!H9+'F.F.M.70%'!H9+'F.F.M.ESTIIMACIONES 2014'!H9</f>
        <v>907852.30010686035</v>
      </c>
      <c r="I6" s="604">
        <f>'F.F.M30%'!I9+'F.F.M.70%'!I9+'F.F.M.ESTIIMACIONES 2014'!I9</f>
        <v>946964.58121718455</v>
      </c>
      <c r="J6" s="604">
        <f>'F.F.M30%'!J9+'F.F.M.70%'!J9+'F.F.M.ESTIIMACIONES 2014'!J9</f>
        <v>855549.68863439013</v>
      </c>
      <c r="K6" s="604">
        <f>'F.F.M30%'!K9+'F.F.M.70%'!K9+'F.F.M.ESTIIMACIONES 2014'!K9</f>
        <v>909695.83281178796</v>
      </c>
      <c r="L6" s="604">
        <f>'F.F.M30%'!L9+'F.F.M.70%'!L9+'F.F.M.ESTIIMACIONES 2014'!L9</f>
        <v>842255.58416145155</v>
      </c>
      <c r="M6" s="604">
        <f>'F.F.M30%'!M9+'F.F.M.70%'!M9+'F.F.M.ESTIIMACIONES 2014'!M9</f>
        <v>830774.35091814271</v>
      </c>
      <c r="N6" s="604">
        <f>'F.F.M30%'!N9+'F.F.M.70%'!N9+'F.F.M.ESTIIMACIONES 2014'!N9</f>
        <v>913600.67872119194</v>
      </c>
      <c r="O6" s="605">
        <f t="shared" si="0"/>
        <v>10891678.634692876</v>
      </c>
    </row>
    <row r="7" spans="1:15" x14ac:dyDescent="0.2">
      <c r="A7" s="602" t="s">
        <v>283</v>
      </c>
      <c r="B7" s="622"/>
      <c r="C7" s="604">
        <f>'F.F.M30%'!C10+'F.F.M.70%'!C10+'F.F.M.ESTIIMACIONES 2014'!C10</f>
        <v>3787971.1478492469</v>
      </c>
      <c r="D7" s="604">
        <f>'F.F.M30%'!D10+'F.F.M.70%'!D10+'F.F.M.ESTIIMACIONES 2014'!D10</f>
        <v>6967312.3080253378</v>
      </c>
      <c r="E7" s="604">
        <f>'F.F.M30%'!E10+'F.F.M.70%'!E10+'F.F.M.ESTIIMACIONES 2014'!E10</f>
        <v>2782299.7788184211</v>
      </c>
      <c r="F7" s="604">
        <f>'F.F.M30%'!F10+'F.F.M.70%'!F10+'F.F.M.ESTIIMACIONES 2014'!F10</f>
        <v>4623694.7176220641</v>
      </c>
      <c r="G7" s="604">
        <f>'F.F.M30%'!G10+'F.F.M.70%'!G10+'F.F.M.ESTIIMACIONES 2014'!G10</f>
        <v>6353129.6949379798</v>
      </c>
      <c r="H7" s="604">
        <f>'F.F.M30%'!H10+'F.F.M.70%'!H10+'F.F.M.ESTIIMACIONES 2014'!H10</f>
        <v>5305061.0788938757</v>
      </c>
      <c r="I7" s="604">
        <f>'F.F.M30%'!I10+'F.F.M.70%'!I10+'F.F.M.ESTIIMACIONES 2014'!I10</f>
        <v>3034046.7125495421</v>
      </c>
      <c r="J7" s="604">
        <f>'F.F.M30%'!J10+'F.F.M.70%'!J10+'F.F.M.ESTIIMACIONES 2014'!J10</f>
        <v>4350712.8981058439</v>
      </c>
      <c r="K7" s="604">
        <f>'F.F.M30%'!K10+'F.F.M.70%'!K10+'F.F.M.ESTIIMACIONES 2014'!K10</f>
        <v>2968038.7578980951</v>
      </c>
      <c r="L7" s="604">
        <f>'F.F.M30%'!L10+'F.F.M.70%'!L10+'F.F.M.ESTIIMACIONES 2014'!L10</f>
        <v>198203.64875330275</v>
      </c>
      <c r="M7" s="604">
        <f>'F.F.M30%'!M10+'F.F.M.70%'!M10+'F.F.M.ESTIIMACIONES 2014'!M10</f>
        <v>3312999.3116110479</v>
      </c>
      <c r="N7" s="604">
        <f>'F.F.M30%'!N10+'F.F.M.70%'!N10+'F.F.M.ESTIIMACIONES 2014'!N10</f>
        <v>2943159.7365911826</v>
      </c>
      <c r="O7" s="605">
        <f t="shared" si="0"/>
        <v>46626629.791655935</v>
      </c>
    </row>
    <row r="8" spans="1:15" x14ac:dyDescent="0.2">
      <c r="A8" s="602" t="s">
        <v>150</v>
      </c>
      <c r="B8" s="622"/>
      <c r="C8" s="604">
        <f>'F.F.M30%'!C11+'F.F.M.70%'!C11+'F.F.M.ESTIIMACIONES 2014'!C11</f>
        <v>2312604.3673079582</v>
      </c>
      <c r="D8" s="604">
        <f>'F.F.M30%'!D11+'F.F.M.70%'!D11+'F.F.M.ESTIIMACIONES 2014'!D11</f>
        <v>3292135.4009790057</v>
      </c>
      <c r="E8" s="604">
        <f>'F.F.M30%'!E11+'F.F.M.70%'!E11+'F.F.M.ESTIIMACIONES 2014'!E11</f>
        <v>2037832.416882454</v>
      </c>
      <c r="F8" s="604">
        <f>'F.F.M30%'!F11+'F.F.M.70%'!F11+'F.F.M.ESTIIMACIONES 2014'!F11</f>
        <v>2620775.7488692869</v>
      </c>
      <c r="G8" s="604">
        <f>'F.F.M30%'!G11+'F.F.M.70%'!G11+'F.F.M.ESTIIMACIONES 2014'!G11</f>
        <v>2801456.7201189701</v>
      </c>
      <c r="H8" s="604">
        <f>'F.F.M30%'!H11+'F.F.M.70%'!H11+'F.F.M.ESTIIMACIONES 2014'!H11</f>
        <v>2641510.6680954769</v>
      </c>
      <c r="I8" s="604">
        <f>'F.F.M30%'!I11+'F.F.M.70%'!I11+'F.F.M.ESTIIMACIONES 2014'!I11</f>
        <v>2260408.6972162761</v>
      </c>
      <c r="J8" s="604">
        <f>'F.F.M30%'!J11+'F.F.M.70%'!J11+'F.F.M.ESTIIMACIONES 2014'!J11</f>
        <v>2360886.4894448221</v>
      </c>
      <c r="K8" s="604">
        <f>'F.F.M30%'!K11+'F.F.M.70%'!K11+'F.F.M.ESTIIMACIONES 2014'!K11</f>
        <v>2182021.0097042196</v>
      </c>
      <c r="L8" s="604">
        <f>'F.F.M30%'!L11+'F.F.M.70%'!L11+'F.F.M.ESTIIMACIONES 2014'!L11</f>
        <v>1515407.2741689396</v>
      </c>
      <c r="M8" s="604">
        <f>'F.F.M30%'!M11+'F.F.M.70%'!M11+'F.F.M.ESTIIMACIONES 2014'!M11</f>
        <v>2112001.4781096573</v>
      </c>
      <c r="N8" s="604">
        <f>'F.F.M30%'!N11+'F.F.M.70%'!N11+'F.F.M.ESTIIMACIONES 2014'!N11</f>
        <v>2183938.8234880501</v>
      </c>
      <c r="O8" s="605">
        <f t="shared" si="0"/>
        <v>28320979.094385114</v>
      </c>
    </row>
    <row r="9" spans="1:15" x14ac:dyDescent="0.2">
      <c r="A9" s="602" t="s">
        <v>284</v>
      </c>
      <c r="B9" s="622"/>
      <c r="C9" s="604">
        <f>'F.F.M30%'!C12+'F.F.M.70%'!C12+'F.F.M.ESTIIMACIONES 2014'!C12</f>
        <v>738980.49407943257</v>
      </c>
      <c r="D9" s="604">
        <f>'F.F.M30%'!D12+'F.F.M.70%'!D12+'F.F.M.ESTIIMACIONES 2014'!D12</f>
        <v>1046292.4777330767</v>
      </c>
      <c r="E9" s="604">
        <f>'F.F.M30%'!E12+'F.F.M.70%'!E12+'F.F.M.ESTIIMACIONES 2014'!E12</f>
        <v>653186.62332762894</v>
      </c>
      <c r="F9" s="604">
        <f>'F.F.M30%'!F12+'F.F.M.70%'!F12+'F.F.M.ESTIIMACIONES 2014'!F12</f>
        <v>836258.92019187822</v>
      </c>
      <c r="G9" s="604">
        <f>'F.F.M30%'!G12+'F.F.M.70%'!G12+'F.F.M.ESTIIMACIONES 2014'!G12</f>
        <v>888813.69321625307</v>
      </c>
      <c r="H9" s="604">
        <f>'F.F.M30%'!H12+'F.F.M.70%'!H12+'F.F.M.ESTIIMACIONES 2014'!H12</f>
        <v>840544.82147425727</v>
      </c>
      <c r="I9" s="604">
        <f>'F.F.M30%'!I12+'F.F.M.70%'!I12+'F.F.M.ESTIIMACIONES 2014'!I12</f>
        <v>724717.46940578439</v>
      </c>
      <c r="J9" s="604">
        <f>'F.F.M30%'!J12+'F.F.M.70%'!J12+'F.F.M.ESTIIMACIONES 2014'!J12</f>
        <v>752660.76617864822</v>
      </c>
      <c r="K9" s="604">
        <f>'F.F.M30%'!K12+'F.F.M.70%'!K12+'F.F.M.ESTIIMACIONES 2014'!K12</f>
        <v>699443.61497358547</v>
      </c>
      <c r="L9" s="604">
        <f>'F.F.M30%'!L12+'F.F.M.70%'!L12+'F.F.M.ESTIIMACIONES 2014'!L12</f>
        <v>492495.11264993664</v>
      </c>
      <c r="M9" s="604">
        <f>'F.F.M30%'!M12+'F.F.M.70%'!M12+'F.F.M.ESTIIMACIONES 2014'!M12</f>
        <v>675407.98466172663</v>
      </c>
      <c r="N9" s="604">
        <f>'F.F.M30%'!N12+'F.F.M.70%'!N12+'F.F.M.ESTIIMACIONES 2014'!N12</f>
        <v>700157.71279974165</v>
      </c>
      <c r="O9" s="605">
        <f t="shared" si="0"/>
        <v>9048959.6906919479</v>
      </c>
    </row>
    <row r="10" spans="1:15" x14ac:dyDescent="0.2">
      <c r="A10" s="602" t="s">
        <v>152</v>
      </c>
      <c r="B10" s="622"/>
      <c r="C10" s="604">
        <f>'F.F.M30%'!C13+'F.F.M.70%'!C13+'F.F.M.ESTIIMACIONES 2014'!C13</f>
        <v>597714.79870588728</v>
      </c>
      <c r="D10" s="604">
        <f>'F.F.M30%'!D13+'F.F.M.70%'!D13+'F.F.M.ESTIIMACIONES 2014'!D13</f>
        <v>742141.61120571964</v>
      </c>
      <c r="E10" s="604">
        <f>'F.F.M30%'!E13+'F.F.M.70%'!E13+'F.F.M.ESTIIMACIONES 2014'!E13</f>
        <v>565060.19532823155</v>
      </c>
      <c r="F10" s="604">
        <f>'F.F.M30%'!F13+'F.F.M.70%'!F13+'F.F.M.ESTIIMACIONES 2014'!F13</f>
        <v>654513.58653914125</v>
      </c>
      <c r="G10" s="604">
        <f>'F.F.M30%'!G13+'F.F.M.70%'!G13+'F.F.M.ESTIIMACIONES 2014'!G13</f>
        <v>602234.27378796868</v>
      </c>
      <c r="H10" s="604">
        <f>'F.F.M30%'!H13+'F.F.M.70%'!H13+'F.F.M.ESTIIMACIONES 2014'!H13</f>
        <v>615171.39375122124</v>
      </c>
      <c r="I10" s="604">
        <f>'F.F.M30%'!I13+'F.F.M.70%'!I13+'F.F.M.ESTIIMACIONES 2014'!I13</f>
        <v>630377.46962291875</v>
      </c>
      <c r="J10" s="604">
        <f>'F.F.M30%'!J13+'F.F.M.70%'!J13+'F.F.M.ESTIIMACIONES 2014'!J13</f>
        <v>576798.63804196659</v>
      </c>
      <c r="K10" s="604">
        <f>'F.F.M30%'!K13+'F.F.M.70%'!K13+'F.F.M.ESTIIMACIONES 2014'!K13</f>
        <v>605809.66988051892</v>
      </c>
      <c r="L10" s="604">
        <f>'F.F.M30%'!L13+'F.F.M.70%'!L13+'F.F.M.ESTIIMACIONES 2014'!L13</f>
        <v>549374.11570415401</v>
      </c>
      <c r="M10" s="604">
        <f>'F.F.M30%'!M13+'F.F.M.70%'!M13+'F.F.M.ESTIIMACIONES 2014'!M13</f>
        <v>555974.91957574151</v>
      </c>
      <c r="N10" s="604">
        <f>'F.F.M30%'!N13+'F.F.M.70%'!N13+'F.F.M.ESTIIMACIONES 2014'!N13</f>
        <v>608240.07104622852</v>
      </c>
      <c r="O10" s="605">
        <f t="shared" si="0"/>
        <v>7303410.7431896972</v>
      </c>
    </row>
    <row r="11" spans="1:15" x14ac:dyDescent="0.2">
      <c r="A11" s="602" t="s">
        <v>153</v>
      </c>
      <c r="B11" s="622"/>
      <c r="C11" s="604">
        <f>'F.F.M30%'!C14+'F.F.M.70%'!C14+'F.F.M.ESTIIMACIONES 2014'!C14</f>
        <v>1316025.4085063164</v>
      </c>
      <c r="D11" s="604">
        <f>'F.F.M30%'!D14+'F.F.M.70%'!D14+'F.F.M.ESTIIMACIONES 2014'!D14</f>
        <v>1702633.0705030083</v>
      </c>
      <c r="E11" s="604">
        <f>'F.F.M30%'!E14+'F.F.M.70%'!E14+'F.F.M.ESTIIMACIONES 2014'!E14</f>
        <v>1219921.5728826234</v>
      </c>
      <c r="F11" s="604">
        <f>'F.F.M30%'!F14+'F.F.M.70%'!F14+'F.F.M.ESTIIMACIONES 2014'!F14</f>
        <v>1455501.3552826203</v>
      </c>
      <c r="G11" s="604">
        <f>'F.F.M30%'!G14+'F.F.M.70%'!G14+'F.F.M.ESTIIMACIONES 2014'!G14</f>
        <v>1402847.9469075906</v>
      </c>
      <c r="H11" s="604">
        <f>'F.F.M30%'!H14+'F.F.M.70%'!H14+'F.F.M.ESTIIMACIONES 2014'!H14</f>
        <v>1397084.8782784841</v>
      </c>
      <c r="I11" s="604">
        <f>'F.F.M30%'!I14+'F.F.M.70%'!I14+'F.F.M.ESTIIMACIONES 2014'!I14</f>
        <v>1358819.1078268755</v>
      </c>
      <c r="J11" s="604">
        <f>'F.F.M30%'!J14+'F.F.M.70%'!J14+'F.F.M.ESTIIMACIONES 2014'!J14</f>
        <v>1291044.677047831</v>
      </c>
      <c r="K11" s="604">
        <f>'F.F.M30%'!K14+'F.F.M.70%'!K14+'F.F.M.ESTIIMACIONES 2014'!K14</f>
        <v>1307444.7769551137</v>
      </c>
      <c r="L11" s="604">
        <f>'F.F.M30%'!L14+'F.F.M.70%'!L14+'F.F.M.ESTIIMACIONES 2014'!L14</f>
        <v>1110083.5932552572</v>
      </c>
      <c r="M11" s="604">
        <f>'F.F.M30%'!M14+'F.F.M.70%'!M14+'F.F.M.ESTIIMACIONES 2014'!M14</f>
        <v>1217746.2915406635</v>
      </c>
      <c r="N11" s="604">
        <f>'F.F.M30%'!N14+'F.F.M.70%'!N14+'F.F.M.ESTIIMACIONES 2014'!N14</f>
        <v>1311575.1685385446</v>
      </c>
      <c r="O11" s="605">
        <f t="shared" si="0"/>
        <v>16090727.847524928</v>
      </c>
    </row>
    <row r="12" spans="1:15" x14ac:dyDescent="0.2">
      <c r="A12" s="602" t="s">
        <v>154</v>
      </c>
      <c r="B12" s="622"/>
      <c r="C12" s="604">
        <f>'F.F.M30%'!C15+'F.F.M.70%'!C15+'F.F.M.ESTIIMACIONES 2014'!C15</f>
        <v>1102990.7696257094</v>
      </c>
      <c r="D12" s="604">
        <f>'F.F.M30%'!D15+'F.F.M.70%'!D15+'F.F.M.ESTIIMACIONES 2014'!D15</f>
        <v>1373907.2217877456</v>
      </c>
      <c r="E12" s="604">
        <f>'F.F.M30%'!E15+'F.F.M.70%'!E15+'F.F.M.ESTIIMACIONES 2014'!E15</f>
        <v>1041179.8208924319</v>
      </c>
      <c r="F12" s="604">
        <f>'F.F.M30%'!F15+'F.F.M.70%'!F15+'F.F.M.ESTIIMACIONES 2014'!F15</f>
        <v>1208728.5982850767</v>
      </c>
      <c r="G12" s="604">
        <f>'F.F.M30%'!G15+'F.F.M.70%'!G15+'F.F.M.ESTIIMACIONES 2014'!G15</f>
        <v>1116259.1389467306</v>
      </c>
      <c r="H12" s="604">
        <f>'F.F.M30%'!H15+'F.F.M.70%'!H15+'F.F.M.ESTIIMACIONES 2014'!H15</f>
        <v>1137936.9401722811</v>
      </c>
      <c r="I12" s="604">
        <f>'F.F.M30%'!I15+'F.F.M.70%'!I15+'F.F.M.ESTIIMACIONES 2014'!I15</f>
        <v>1161397.6666648383</v>
      </c>
      <c r="J12" s="604">
        <f>'F.F.M30%'!J15+'F.F.M.70%'!J15+'F.F.M.ESTIIMACIONES 2014'!J15</f>
        <v>1065744.1497382857</v>
      </c>
      <c r="K12" s="604">
        <f>'F.F.M30%'!K15+'F.F.M.70%'!K15+'F.F.M.ESTIIMACIONES 2014'!K15</f>
        <v>1116235.8313336452</v>
      </c>
      <c r="L12" s="604">
        <f>'F.F.M30%'!L15+'F.F.M.70%'!L15+'F.F.M.ESTIIMACIONES 2014'!L15</f>
        <v>1007405.9035107511</v>
      </c>
      <c r="M12" s="604">
        <f>'F.F.M30%'!M15+'F.F.M.70%'!M15+'F.F.M.ESTIIMACIONES 2014'!M15</f>
        <v>1025557.344641229</v>
      </c>
      <c r="N12" s="604">
        <f>'F.F.M30%'!N15+'F.F.M.70%'!N15+'F.F.M.ESTIIMACIONES 2014'!N15</f>
        <v>1120642.4973422296</v>
      </c>
      <c r="O12" s="605">
        <f t="shared" si="0"/>
        <v>13477985.882940954</v>
      </c>
    </row>
    <row r="13" spans="1:15" x14ac:dyDescent="0.2">
      <c r="A13" s="602" t="s">
        <v>155</v>
      </c>
      <c r="B13" s="622"/>
      <c r="C13" s="604">
        <f>'F.F.M30%'!C16+'F.F.M.70%'!C16+'F.F.M.ESTIIMACIONES 2014'!C16</f>
        <v>626225.92846399569</v>
      </c>
      <c r="D13" s="604">
        <f>'F.F.M30%'!D16+'F.F.M.70%'!D16+'F.F.M.ESTIIMACIONES 2014'!D16</f>
        <v>778522.13122246903</v>
      </c>
      <c r="E13" s="604">
        <f>'F.F.M30%'!E16+'F.F.M.70%'!E16+'F.F.M.ESTIIMACIONES 2014'!E16</f>
        <v>591667.89224101277</v>
      </c>
      <c r="F13" s="604">
        <f>'F.F.M30%'!F16+'F.F.M.70%'!F16+'F.F.M.ESTIIMACIONES 2014'!F16</f>
        <v>685940.00965624512</v>
      </c>
      <c r="G13" s="604">
        <f>'F.F.M30%'!G16+'F.F.M.70%'!G16+'F.F.M.ESTIIMACIONES 2014'!G16</f>
        <v>632059.14559873682</v>
      </c>
      <c r="H13" s="604">
        <f>'F.F.M30%'!H16+'F.F.M.70%'!H16+'F.F.M.ESTIIMACIONES 2014'!H16</f>
        <v>645124.12124647864</v>
      </c>
      <c r="I13" s="604">
        <f>'F.F.M30%'!I16+'F.F.M.70%'!I16+'F.F.M.ESTIIMACIONES 2014'!I16</f>
        <v>660030.5937531587</v>
      </c>
      <c r="J13" s="604">
        <f>'F.F.M30%'!J16+'F.F.M.70%'!J16+'F.F.M.ESTIIMACIONES 2014'!J16</f>
        <v>604613.08452326513</v>
      </c>
      <c r="K13" s="604">
        <f>'F.F.M30%'!K16+'F.F.M.70%'!K16+'F.F.M.ESTIIMACIONES 2014'!K16</f>
        <v>634329.73431970051</v>
      </c>
      <c r="L13" s="604">
        <f>'F.F.M30%'!L16+'F.F.M.70%'!L16+'F.F.M.ESTIIMACIONES 2014'!L16</f>
        <v>574157.86031828553</v>
      </c>
      <c r="M13" s="604">
        <f>'F.F.M30%'!M16+'F.F.M.70%'!M16+'F.F.M.ESTIIMACIONES 2014'!M16</f>
        <v>582403.9359285176</v>
      </c>
      <c r="N13" s="604">
        <f>'F.F.M30%'!N16+'F.F.M.70%'!N16+'F.F.M.ESTIIMACIONES 2014'!N16</f>
        <v>636858.62665251666</v>
      </c>
      <c r="O13" s="605">
        <f t="shared" si="0"/>
        <v>7651933.0639243824</v>
      </c>
    </row>
    <row r="14" spans="1:15" x14ac:dyDescent="0.2">
      <c r="A14" s="602" t="s">
        <v>156</v>
      </c>
      <c r="B14" s="622"/>
      <c r="C14" s="604">
        <f>'F.F.M30%'!C17+'F.F.M.70%'!C17+'F.F.M.ESTIIMACIONES 2014'!C17</f>
        <v>1971114.0953450492</v>
      </c>
      <c r="D14" s="604">
        <f>'F.F.M30%'!D17+'F.F.M.70%'!D17+'F.F.M.ESTIIMACIONES 2014'!D17</f>
        <v>3172535.8505462487</v>
      </c>
      <c r="E14" s="604">
        <f>'F.F.M30%'!E17+'F.F.M.70%'!E17+'F.F.M.ESTIIMACIONES 2014'!E17</f>
        <v>1607608.4072201753</v>
      </c>
      <c r="F14" s="604">
        <f>'F.F.M30%'!F17+'F.F.M.70%'!F17+'F.F.M.ESTIIMACIONES 2014'!F17</f>
        <v>2310802.4449213175</v>
      </c>
      <c r="G14" s="604">
        <f>'F.F.M30%'!G17+'F.F.M.70%'!G17+'F.F.M.ESTIIMACIONES 2014'!G17</f>
        <v>2798423.9557797038</v>
      </c>
      <c r="H14" s="604">
        <f>'F.F.M30%'!H17+'F.F.M.70%'!H17+'F.F.M.ESTIIMACIONES 2014'!H17</f>
        <v>2479148.2775638793</v>
      </c>
      <c r="I14" s="604">
        <f>'F.F.M30%'!I17+'F.F.M.70%'!I17+'F.F.M.ESTIIMACIONES 2014'!I17</f>
        <v>1771059.603956358</v>
      </c>
      <c r="J14" s="604">
        <f>'F.F.M30%'!J17+'F.F.M.70%'!J17+'F.F.M.ESTIIMACIONES 2014'!J17</f>
        <v>2124830.1114007886</v>
      </c>
      <c r="K14" s="604">
        <f>'F.F.M30%'!K17+'F.F.M.70%'!K17+'F.F.M.ESTIIMACIONES 2014'!K17</f>
        <v>1718766.9526454739</v>
      </c>
      <c r="L14" s="604">
        <f>'F.F.M30%'!L17+'F.F.M.70%'!L17+'F.F.M.ESTIIMACIONES 2014'!L17</f>
        <v>760074.16505623725</v>
      </c>
      <c r="M14" s="604">
        <f>'F.F.M30%'!M17+'F.F.M.70%'!M17+'F.F.M.ESTIIMACIONES 2014'!M17</f>
        <v>1766063.0808116235</v>
      </c>
      <c r="N14" s="604">
        <f>'F.F.M30%'!N17+'F.F.M.70%'!N17+'F.F.M.ESTIIMACIONES 2014'!N17</f>
        <v>1713880.2879973366</v>
      </c>
      <c r="O14" s="605">
        <f t="shared" si="0"/>
        <v>24194307.233244188</v>
      </c>
    </row>
    <row r="15" spans="1:15" x14ac:dyDescent="0.2">
      <c r="A15" s="602" t="s">
        <v>157</v>
      </c>
      <c r="B15" s="622"/>
      <c r="C15" s="604">
        <f>'F.F.M30%'!C18+'F.F.M.70%'!C18+'F.F.M.ESTIIMACIONES 2014'!C18</f>
        <v>1294270.0366785906</v>
      </c>
      <c r="D15" s="604">
        <f>'F.F.M30%'!D18+'F.F.M.70%'!D18+'F.F.M.ESTIIMACIONES 2014'!D18</f>
        <v>1601419.6348711094</v>
      </c>
      <c r="E15" s="604">
        <f>'F.F.M30%'!E18+'F.F.M.70%'!E18+'F.F.M.ESTIIMACIONES 2014'!E18</f>
        <v>1225531.9578955024</v>
      </c>
      <c r="F15" s="604">
        <f>'F.F.M30%'!F18+'F.F.M.70%'!F18+'F.F.M.ESTIIMACIONES 2014'!F18</f>
        <v>1416086.0302503728</v>
      </c>
      <c r="G15" s="604">
        <f>'F.F.M30%'!G18+'F.F.M.70%'!G18+'F.F.M.ESTIIMACIONES 2014'!G18</f>
        <v>1297796.9653630459</v>
      </c>
      <c r="H15" s="604">
        <f>'F.F.M30%'!H18+'F.F.M.70%'!H18+'F.F.M.ESTIIMACIONES 2014'!H18</f>
        <v>1328599.185979618</v>
      </c>
      <c r="I15" s="604">
        <f>'F.F.M30%'!I18+'F.F.M.70%'!I18+'F.F.M.ESTIIMACIONES 2014'!I18</f>
        <v>1367367.8772172274</v>
      </c>
      <c r="J15" s="604">
        <f>'F.F.M30%'!J18+'F.F.M.70%'!J18+'F.F.M.ESTIIMACIONES 2014'!J18</f>
        <v>1247263.1504776836</v>
      </c>
      <c r="K15" s="604">
        <f>'F.F.M30%'!K18+'F.F.M.70%'!K18+'F.F.M.ESTIIMACIONES 2014'!K18</f>
        <v>1313948.3259144251</v>
      </c>
      <c r="L15" s="604">
        <f>'F.F.M30%'!L18+'F.F.M.70%'!L18+'F.F.M.ESTIIMACIONES 2014'!L18</f>
        <v>1197697.3660444061</v>
      </c>
      <c r="M15" s="604">
        <f>'F.F.M30%'!M18+'F.F.M.70%'!M18+'F.F.M.ESTIIMACIONES 2014'!M18</f>
        <v>1204407.3353920358</v>
      </c>
      <c r="N15" s="604">
        <f>'F.F.M30%'!N18+'F.F.M.70%'!N18+'F.F.M.ESTIIMACIONES 2014'!N18</f>
        <v>1319310.4317460121</v>
      </c>
      <c r="O15" s="605">
        <f t="shared" si="0"/>
        <v>15813698.297830028</v>
      </c>
    </row>
    <row r="16" spans="1:15" x14ac:dyDescent="0.2">
      <c r="A16" s="602" t="s">
        <v>158</v>
      </c>
      <c r="B16" s="622"/>
      <c r="C16" s="604">
        <f>'F.F.M30%'!C19+'F.F.M.70%'!C19+'F.F.M.ESTIIMACIONES 2014'!C19</f>
        <v>1865678.1382377581</v>
      </c>
      <c r="D16" s="604">
        <f>'F.F.M30%'!D19+'F.F.M.70%'!D19+'F.F.M.ESTIIMACIONES 2014'!D19</f>
        <v>2344650.8136770995</v>
      </c>
      <c r="E16" s="604">
        <f>'F.F.M30%'!E19+'F.F.M.70%'!E19+'F.F.M.ESTIIMACIONES 2014'!E19</f>
        <v>1753815.1242423099</v>
      </c>
      <c r="F16" s="604">
        <f>'F.F.M30%'!F19+'F.F.M.70%'!F19+'F.F.M.ESTIIMACIONES 2014'!F19</f>
        <v>2048885.8778985599</v>
      </c>
      <c r="G16" s="604">
        <f>'F.F.M30%'!G19+'F.F.M.70%'!G19+'F.F.M.ESTIIMACIONES 2014'!G19</f>
        <v>1911340.4429478864</v>
      </c>
      <c r="H16" s="604">
        <f>'F.F.M30%'!H19+'F.F.M.70%'!H19+'F.F.M.ESTIIMACIONES 2014'!H19</f>
        <v>1937663.3217777463</v>
      </c>
      <c r="I16" s="604">
        <f>'F.F.M30%'!I19+'F.F.M.70%'!I19+'F.F.M.ESTIIMACIONES 2014'!I19</f>
        <v>1955675.5177287585</v>
      </c>
      <c r="J16" s="604">
        <f>'F.F.M30%'!J19+'F.F.M.70%'!J19+'F.F.M.ESTIIMACIONES 2014'!J19</f>
        <v>1809041.2486600238</v>
      </c>
      <c r="K16" s="604">
        <f>'F.F.M30%'!K19+'F.F.M.70%'!K19+'F.F.M.ESTIIMACIONES 2014'!K19</f>
        <v>1880106.5397948718</v>
      </c>
      <c r="L16" s="604">
        <f>'F.F.M30%'!L19+'F.F.M.70%'!L19+'F.F.M.ESTIIMACIONES 2014'!L19</f>
        <v>1673942.7066517074</v>
      </c>
      <c r="M16" s="604">
        <f>'F.F.M30%'!M19+'F.F.M.70%'!M19+'F.F.M.ESTIIMACIONES 2014'!M19</f>
        <v>1732775.2159489156</v>
      </c>
      <c r="N16" s="604">
        <f>'F.F.M30%'!N19+'F.F.M.70%'!N19+'F.F.M.ESTIIMACIONES 2014'!N19</f>
        <v>1887191.5563838352</v>
      </c>
      <c r="O16" s="605">
        <f t="shared" si="0"/>
        <v>22800766.503949471</v>
      </c>
    </row>
    <row r="17" spans="1:18" x14ac:dyDescent="0.2">
      <c r="A17" s="602" t="s">
        <v>285</v>
      </c>
      <c r="B17" s="622"/>
      <c r="C17" s="604">
        <f>'F.F.M30%'!C20+'F.F.M.70%'!C20+'F.F.M.ESTIIMACIONES 2014'!C20</f>
        <v>799258.89185782371</v>
      </c>
      <c r="D17" s="604">
        <f>'F.F.M30%'!D20+'F.F.M.70%'!D20+'F.F.M.ESTIIMACIONES 2014'!D20</f>
        <v>964735.70088222844</v>
      </c>
      <c r="E17" s="604">
        <f>'F.F.M30%'!E20+'F.F.M.70%'!E20+'F.F.M.ESTIIMACIONES 2014'!E20</f>
        <v>765347.79497987602</v>
      </c>
      <c r="F17" s="604">
        <f>'F.F.M30%'!F20+'F.F.M.70%'!F20+'F.F.M.ESTIIMACIONES 2014'!F20</f>
        <v>869399.48701900546</v>
      </c>
      <c r="G17" s="604">
        <f>'F.F.M30%'!G20+'F.F.M.70%'!G20+'F.F.M.ESTIIMACIONES 2014'!G20</f>
        <v>774325.35684507526</v>
      </c>
      <c r="H17" s="604">
        <f>'F.F.M30%'!H20+'F.F.M.70%'!H20+'F.F.M.ESTIIMACIONES 2014'!H20</f>
        <v>805425.45252738125</v>
      </c>
      <c r="I17" s="604">
        <f>'F.F.M30%'!I20+'F.F.M.70%'!I20+'F.F.M.ESTIIMACIONES 2014'!I20</f>
        <v>854670.27481695742</v>
      </c>
      <c r="J17" s="604">
        <f>'F.F.M30%'!J20+'F.F.M.70%'!J20+'F.F.M.ESTIIMACIONES 2014'!J20</f>
        <v>762798.75761464587</v>
      </c>
      <c r="K17" s="604">
        <f>'F.F.M30%'!K20+'F.F.M.70%'!K20+'F.F.M.ESTIIMACIONES 2014'!K20</f>
        <v>820723.12039121194</v>
      </c>
      <c r="L17" s="604">
        <f>'F.F.M30%'!L20+'F.F.M.70%'!L20+'F.F.M.ESTIIMACIONES 2014'!L20</f>
        <v>774716.4789639886</v>
      </c>
      <c r="M17" s="604">
        <f>'F.F.M30%'!M20+'F.F.M.70%'!M20+'F.F.M.ESTIIMACIONES 2014'!M20</f>
        <v>746014.77889171708</v>
      </c>
      <c r="N17" s="604">
        <f>'F.F.M30%'!N20+'F.F.M.70%'!N20+'F.F.M.ESTIIMACIONES 2014'!N20</f>
        <v>824464.96460116666</v>
      </c>
      <c r="O17" s="605">
        <f t="shared" si="0"/>
        <v>9761881.0593910776</v>
      </c>
    </row>
    <row r="18" spans="1:18" x14ac:dyDescent="0.2">
      <c r="A18" s="602" t="s">
        <v>286</v>
      </c>
      <c r="B18" s="622"/>
      <c r="C18" s="604">
        <f>'F.F.M30%'!C21+'F.F.M.70%'!C21+'F.F.M.ESTIIMACIONES 2014'!C21</f>
        <v>1120225.4280381524</v>
      </c>
      <c r="D18" s="604">
        <f>'F.F.M30%'!D21+'F.F.M.70%'!D21+'F.F.M.ESTIIMACIONES 2014'!D21</f>
        <v>1409810.8085720586</v>
      </c>
      <c r="E18" s="604">
        <f>'F.F.M30%'!E21+'F.F.M.70%'!E21+'F.F.M.ESTIIMACIONES 2014'!E21</f>
        <v>1052355.9203430342</v>
      </c>
      <c r="F18" s="604">
        <f>'F.F.M30%'!F21+'F.F.M.70%'!F21+'F.F.M.ESTIIMACIONES 2014'!F21</f>
        <v>1230648.9724651594</v>
      </c>
      <c r="G18" s="604">
        <f>'F.F.M30%'!G21+'F.F.M.70%'!G21+'F.F.M.ESTIIMACIONES 2014'!G21</f>
        <v>1149874.161207119</v>
      </c>
      <c r="H18" s="604">
        <f>'F.F.M30%'!H21+'F.F.M.70%'!H21+'F.F.M.ESTIIMACIONES 2014'!H21</f>
        <v>1164685.3520696636</v>
      </c>
      <c r="I18" s="604">
        <f>'F.F.M30%'!I21+'F.F.M.70%'!I21+'F.F.M.ESTIIMACIONES 2014'!I21</f>
        <v>1173418.0400329162</v>
      </c>
      <c r="J18" s="604">
        <f>'F.F.M30%'!J21+'F.F.M.70%'!J21+'F.F.M.ESTIIMACIONES 2014'!J21</f>
        <v>1086830.0819606746</v>
      </c>
      <c r="K18" s="604">
        <f>'F.F.M30%'!K21+'F.F.M.70%'!K21+'F.F.M.ESTIIMACIONES 2014'!K21</f>
        <v>1128122.3952524536</v>
      </c>
      <c r="L18" s="604">
        <f>'F.F.M30%'!L21+'F.F.M.70%'!L21+'F.F.M.ESTIIMACIONES 2014'!L21</f>
        <v>1002211.7037465984</v>
      </c>
      <c r="M18" s="604">
        <f>'F.F.M30%'!M21+'F.F.M.70%'!M21+'F.F.M.ESTIIMACIONES 2014'!M21</f>
        <v>1040240.2381397266</v>
      </c>
      <c r="N18" s="604">
        <f>'F.F.M30%'!N21+'F.F.M.70%'!N21+'F.F.M.ESTIIMACIONES 2014'!N21</f>
        <v>1132341.078949752</v>
      </c>
      <c r="O18" s="605">
        <f t="shared" si="0"/>
        <v>13690764.180777308</v>
      </c>
    </row>
    <row r="19" spans="1:18" x14ac:dyDescent="0.2">
      <c r="A19" s="602" t="s">
        <v>287</v>
      </c>
      <c r="B19" s="622"/>
      <c r="C19" s="604">
        <f>'F.F.M30%'!C22+'F.F.M.70%'!C22+'F.F.M.ESTIIMACIONES 2014'!C22</f>
        <v>6042843.6752944309</v>
      </c>
      <c r="D19" s="604">
        <f>'F.F.M30%'!D22+'F.F.M.70%'!D22+'F.F.M.ESTIIMACIONES 2014'!D22</f>
        <v>9846567.4331765994</v>
      </c>
      <c r="E19" s="604">
        <f>'F.F.M30%'!E22+'F.F.M.70%'!E22+'F.F.M.ESTIIMACIONES 2014'!E22</f>
        <v>4885924.641369286</v>
      </c>
      <c r="F19" s="604">
        <f>'F.F.M30%'!F22+'F.F.M.70%'!F22+'F.F.M.ESTIIMACIONES 2014'!F22</f>
        <v>7109553.28621352</v>
      </c>
      <c r="G19" s="604">
        <f>'F.F.M30%'!G22+'F.F.M.70%'!G22+'F.F.M.ESTIIMACIONES 2014'!G22</f>
        <v>8714157.533350613</v>
      </c>
      <c r="H19" s="604">
        <f>'F.F.M30%'!H22+'F.F.M.70%'!H22+'F.F.M.ESTIIMACIONES 2014'!H22</f>
        <v>7675196.1483538914</v>
      </c>
      <c r="I19" s="604">
        <f>'F.F.M30%'!I22+'F.F.M.70%'!I22+'F.F.M.ESTIIMACIONES 2014'!I22</f>
        <v>5378382.4633756671</v>
      </c>
      <c r="J19" s="604">
        <f>'F.F.M30%'!J22+'F.F.M.70%'!J22+'F.F.M.ESTIIMACIONES 2014'!J22</f>
        <v>6551104.5967272073</v>
      </c>
      <c r="K19" s="604">
        <f>'F.F.M30%'!K22+'F.F.M.70%'!K22+'F.F.M.ESTIIMACIONES 2014'!K22</f>
        <v>5222843.4353948887</v>
      </c>
      <c r="L19" s="604">
        <f>'F.F.M30%'!L22+'F.F.M.70%'!L22+'F.F.M.ESTIIMACIONES 2014'!L22</f>
        <v>2155368.046918083</v>
      </c>
      <c r="M19" s="604">
        <f>'F.F.M30%'!M22+'F.F.M.70%'!M22+'F.F.M.ESTIIMACIONES 2014'!M22</f>
        <v>5403015.7253072914</v>
      </c>
      <c r="N19" s="604">
        <f>'F.F.M30%'!N22+'F.F.M.70%'!N22+'F.F.M.ESTIIMACIONES 2014'!N22</f>
        <v>5205718.0215589777</v>
      </c>
      <c r="O19" s="605">
        <f t="shared" si="0"/>
        <v>74190675.007040441</v>
      </c>
    </row>
    <row r="20" spans="1:18" x14ac:dyDescent="0.2">
      <c r="A20" s="602" t="s">
        <v>162</v>
      </c>
      <c r="B20" s="622"/>
      <c r="C20" s="604">
        <f>'F.F.M30%'!C23+'F.F.M.70%'!C23+'F.F.M.ESTIIMACIONES 2014'!C23</f>
        <v>1425548.9825605552</v>
      </c>
      <c r="D20" s="604">
        <f>'F.F.M30%'!D23+'F.F.M.70%'!D23+'F.F.M.ESTIIMACIONES 2014'!D23</f>
        <v>1819010.3655521974</v>
      </c>
      <c r="E20" s="604">
        <f>'F.F.M30%'!E23+'F.F.M.70%'!E23+'F.F.M.ESTIIMACIONES 2014'!E23</f>
        <v>1330379.978673981</v>
      </c>
      <c r="F20" s="604">
        <f>'F.F.M30%'!F23+'F.F.M.70%'!F23+'F.F.M.ESTIIMACIONES 2014'!F23</f>
        <v>1571311.6099759541</v>
      </c>
      <c r="G20" s="604">
        <f>'F.F.M30%'!G23+'F.F.M.70%'!G23+'F.F.M.ESTIIMACIONES 2014'!G23</f>
        <v>1491228.9518766634</v>
      </c>
      <c r="H20" s="604">
        <f>'F.F.M30%'!H23+'F.F.M.70%'!H23+'F.F.M.ESTIIMACIONES 2014'!H23</f>
        <v>1497624.7263709409</v>
      </c>
      <c r="I20" s="604">
        <f>'F.F.M30%'!I23+'F.F.M.70%'!I23+'F.F.M.ESTIIMACIONES 2014'!I23</f>
        <v>1482650.9718827151</v>
      </c>
      <c r="J20" s="604">
        <f>'F.F.M30%'!J23+'F.F.M.70%'!J23+'F.F.M.ESTIIMACIONES 2014'!J23</f>
        <v>1390713.1415682705</v>
      </c>
      <c r="K20" s="604">
        <f>'F.F.M30%'!K23+'F.F.M.70%'!K23+'F.F.M.ESTIIMACIONES 2014'!K23</f>
        <v>1425998.0456010986</v>
      </c>
      <c r="L20" s="604">
        <f>'F.F.M30%'!L23+'F.F.M.70%'!L23+'F.F.M.ESTIIMACIONES 2014'!L23</f>
        <v>1239189.4926754246</v>
      </c>
      <c r="M20" s="604">
        <f>'F.F.M30%'!M23+'F.F.M.70%'!M23+'F.F.M.ESTIIMACIONES 2014'!M23</f>
        <v>1321444.4235358983</v>
      </c>
      <c r="N20" s="604">
        <f>'F.F.M30%'!N23+'F.F.M.70%'!N23+'F.F.M.ESTIIMACIONES 2014'!N23</f>
        <v>1430922.6858189199</v>
      </c>
      <c r="O20" s="605">
        <f t="shared" si="0"/>
        <v>17426023.37609262</v>
      </c>
    </row>
    <row r="21" spans="1:18" x14ac:dyDescent="0.2">
      <c r="A21" s="602" t="s">
        <v>163</v>
      </c>
      <c r="B21" s="622"/>
      <c r="C21" s="604">
        <f>'F.F.M30%'!C24+'F.F.M.70%'!C24+'F.F.M.ESTIIMACIONES 2014'!C24</f>
        <v>17155544.623890899</v>
      </c>
      <c r="D21" s="604">
        <f>'F.F.M30%'!D24+'F.F.M.70%'!D24+'F.F.M.ESTIIMACIONES 2014'!D24</f>
        <v>22916445.324299816</v>
      </c>
      <c r="E21" s="604">
        <f>'F.F.M30%'!E24+'F.F.M.70%'!E24+'F.F.M.ESTIIMACIONES 2014'!E24</f>
        <v>15648341.626453416</v>
      </c>
      <c r="F21" s="604">
        <f>'F.F.M30%'!F24+'F.F.M.70%'!F24+'F.F.M.ESTIIMACIONES 2014'!F24</f>
        <v>19125273.893982656</v>
      </c>
      <c r="G21" s="604">
        <f>'F.F.M30%'!G24+'F.F.M.70%'!G24+'F.F.M.ESTIIMACIONES 2014'!G24</f>
        <v>19095268.79455094</v>
      </c>
      <c r="H21" s="604">
        <f>'F.F.M30%'!H24+'F.F.M.70%'!H24+'F.F.M.ESTIIMACIONES 2014'!H24</f>
        <v>18660203.204113428</v>
      </c>
      <c r="I21" s="604">
        <f>'F.F.M30%'!I24+'F.F.M.70%'!I24+'F.F.M.ESTIIMACIONES 2014'!I24</f>
        <v>17407330.950052455</v>
      </c>
      <c r="J21" s="604">
        <f>'F.F.M30%'!J24+'F.F.M.70%'!J24+'F.F.M.ESTIIMACIONES 2014'!J24</f>
        <v>17051360.553907387</v>
      </c>
      <c r="K21" s="604">
        <f>'F.F.M30%'!K24+'F.F.M.70%'!K24+'F.F.M.ESTIIMACIONES 2014'!K24</f>
        <v>16766188.592434762</v>
      </c>
      <c r="L21" s="604">
        <f>'F.F.M30%'!L24+'F.F.M.70%'!L24+'F.F.M.ESTIIMACIONES 2014'!L24</f>
        <v>13425099.562606337</v>
      </c>
      <c r="M21" s="604">
        <f>'F.F.M30%'!M24+'F.F.M.70%'!M24+'F.F.M.ESTIIMACIONES 2014'!M24</f>
        <v>15807359.358710429</v>
      </c>
      <c r="N21" s="604">
        <f>'F.F.M30%'!N24+'F.F.M.70%'!N24+'F.F.M.ESTIIMACIONES 2014'!N24</f>
        <v>16807201.641906034</v>
      </c>
      <c r="O21" s="605">
        <f t="shared" si="0"/>
        <v>209865618.12690857</v>
      </c>
    </row>
    <row r="22" spans="1:18" x14ac:dyDescent="0.2">
      <c r="A22" s="602" t="s">
        <v>164</v>
      </c>
      <c r="B22" s="622"/>
      <c r="C22" s="604">
        <f>'F.F.M30%'!C25+'F.F.M.70%'!C25+'F.F.M.ESTIIMACIONES 2014'!C25</f>
        <v>2228601.8656931627</v>
      </c>
      <c r="D22" s="604">
        <f>'F.F.M30%'!D25+'F.F.M.70%'!D25+'F.F.M.ESTIIMACIONES 2014'!D25</f>
        <v>3396600.7403670503</v>
      </c>
      <c r="E22" s="604">
        <f>'F.F.M30%'!E25+'F.F.M.70%'!E25+'F.F.M.ESTIIMACIONES 2014'!E25</f>
        <v>1884769.5251807238</v>
      </c>
      <c r="F22" s="604">
        <f>'F.F.M30%'!F25+'F.F.M.70%'!F25+'F.F.M.ESTIIMACIONES 2014'!F25</f>
        <v>2572660.6434615422</v>
      </c>
      <c r="G22" s="604">
        <f>'F.F.M30%'!G25+'F.F.M.70%'!G25+'F.F.M.ESTIIMACIONES 2014'!G25</f>
        <v>2950708.6721700476</v>
      </c>
      <c r="H22" s="604">
        <f>'F.F.M30%'!H25+'F.F.M.70%'!H25+'F.F.M.ESTIIMACIONES 2014'!H25</f>
        <v>2684743.0780438269</v>
      </c>
      <c r="I22" s="604">
        <f>'F.F.M30%'!I25+'F.F.M.70%'!I25+'F.F.M.ESTIIMACIONES 2014'!I25</f>
        <v>2083210.2043724612</v>
      </c>
      <c r="J22" s="604">
        <f>'F.F.M30%'!J25+'F.F.M.70%'!J25+'F.F.M.ESTIIMACIONES 2014'!J25</f>
        <v>2343936.0949738594</v>
      </c>
      <c r="K22" s="604">
        <f>'F.F.M30%'!K25+'F.F.M.70%'!K25+'F.F.M.ESTIIMACIONES 2014'!K25</f>
        <v>2016545.3530660092</v>
      </c>
      <c r="L22" s="604">
        <f>'F.F.M30%'!L25+'F.F.M.70%'!L25+'F.F.M.ESTIIMACIONES 2014'!L25</f>
        <v>1135438.4599135336</v>
      </c>
      <c r="M22" s="604">
        <f>'F.F.M30%'!M25+'F.F.M.70%'!M25+'F.F.M.ESTIIMACIONES 2014'!M25</f>
        <v>2014459.8257937364</v>
      </c>
      <c r="N22" s="604">
        <f>'F.F.M30%'!N25+'F.F.M.70%'!N25+'F.F.M.ESTIIMACIONES 2014'!N25</f>
        <v>2014407.2836308014</v>
      </c>
      <c r="O22" s="605">
        <f t="shared" si="0"/>
        <v>27326081.746666752</v>
      </c>
      <c r="R22" s="606"/>
    </row>
    <row r="23" spans="1:18" ht="13.5" thickBot="1" x14ac:dyDescent="0.25">
      <c r="A23" s="602" t="s">
        <v>165</v>
      </c>
      <c r="B23" s="622"/>
      <c r="C23" s="604">
        <f>'F.F.M30%'!C26+'F.F.M.70%'!C26+'F.F.M.ESTIIMACIONES 2014'!C26</f>
        <v>1620143.6585719257</v>
      </c>
      <c r="D23" s="604">
        <f>'F.F.M30%'!D26+'F.F.M.70%'!D26+'F.F.M.ESTIIMACIONES 2014'!D26</f>
        <v>2355904.9827394364</v>
      </c>
      <c r="E23" s="604">
        <f>'F.F.M30%'!E26+'F.F.M.70%'!E26+'F.F.M.ESTIIMACIONES 2014'!E26</f>
        <v>1410172.7850307776</v>
      </c>
      <c r="F23" s="604">
        <f>'F.F.M30%'!F26+'F.F.M.70%'!F26+'F.F.M.ESTIIMACIONES 2014'!F26</f>
        <v>1846447.863157182</v>
      </c>
      <c r="G23" s="604">
        <f>'F.F.M30%'!G26+'F.F.M.70%'!G26+'F.F.M.ESTIIMACIONES 2014'!G26</f>
        <v>2018110.4781703856</v>
      </c>
      <c r="H23" s="604">
        <f>'F.F.M30%'!H26+'F.F.M.70%'!H26+'F.F.M.ESTIIMACIONES 2014'!H26</f>
        <v>1881334.817499382</v>
      </c>
      <c r="I23" s="604">
        <f>'F.F.M30%'!I26+'F.F.M.70%'!I26+'F.F.M.ESTIIMACIONES 2014'!I26</f>
        <v>1562554.9386509408</v>
      </c>
      <c r="J23" s="604">
        <f>'F.F.M30%'!J26+'F.F.M.70%'!J26+'F.F.M.ESTIIMACIONES 2014'!J26</f>
        <v>1669179.6135674531</v>
      </c>
      <c r="K23" s="604">
        <f>'F.F.M30%'!K26+'F.F.M.70%'!K26+'F.F.M.ESTIIMACIONES 2014'!K26</f>
        <v>1509600.8985732454</v>
      </c>
      <c r="L23" s="604">
        <f>'F.F.M30%'!L26+'F.F.M.70%'!L26+'F.F.M.ESTIIMACIONES 2014'!L26</f>
        <v>989819.71642413398</v>
      </c>
      <c r="M23" s="604">
        <f>'F.F.M30%'!M26+'F.F.M.70%'!M26+'F.F.M.ESTIIMACIONES 2014'!M26</f>
        <v>1475003.1289001936</v>
      </c>
      <c r="N23" s="604">
        <f>'F.F.M30%'!N26+'F.F.M.70%'!N26+'F.F.M.ESTIIMACIONES 2014'!N26</f>
        <v>1510063.2307281741</v>
      </c>
      <c r="O23" s="605">
        <f t="shared" si="0"/>
        <v>19848336.112013232</v>
      </c>
    </row>
    <row r="24" spans="1:18" ht="13.5" thickBot="1" x14ac:dyDescent="0.25">
      <c r="A24" s="607" t="s">
        <v>288</v>
      </c>
      <c r="B24" s="623">
        <f t="shared" ref="B24:N24" si="1">SUM(B4:B23)</f>
        <v>0</v>
      </c>
      <c r="C24" s="609">
        <f t="shared" si="1"/>
        <v>49379080.257498361</v>
      </c>
      <c r="D24" s="609">
        <f t="shared" si="1"/>
        <v>69989723.108946919</v>
      </c>
      <c r="E24" s="609">
        <f t="shared" si="1"/>
        <v>43619514.60419447</v>
      </c>
      <c r="F24" s="609">
        <f t="shared" si="1"/>
        <v>55895224.938603207</v>
      </c>
      <c r="G24" s="609">
        <f t="shared" si="1"/>
        <v>59476037.564360671</v>
      </c>
      <c r="H24" s="609">
        <f t="shared" si="1"/>
        <v>56212807.002193861</v>
      </c>
      <c r="I24" s="609">
        <f t="shared" si="1"/>
        <v>48393808.181139998</v>
      </c>
      <c r="J24" s="609">
        <f t="shared" si="1"/>
        <v>50316509.037090868</v>
      </c>
      <c r="K24" s="609">
        <f t="shared" si="1"/>
        <v>46708001.679837212</v>
      </c>
      <c r="L24" s="609">
        <f t="shared" si="1"/>
        <v>32798736.267554075</v>
      </c>
      <c r="M24" s="609">
        <f t="shared" si="1"/>
        <v>45124076.461118899</v>
      </c>
      <c r="N24" s="609">
        <f t="shared" si="1"/>
        <v>46754367.897461481</v>
      </c>
      <c r="O24" s="609">
        <f t="shared" si="0"/>
        <v>604667887.00000012</v>
      </c>
    </row>
    <row r="25" spans="1:18" x14ac:dyDescent="0.2">
      <c r="A25" s="611" t="s">
        <v>289</v>
      </c>
      <c r="M25" s="606"/>
      <c r="O25" s="606"/>
    </row>
    <row r="27" spans="1:18" x14ac:dyDescent="0.2">
      <c r="M27" s="606"/>
    </row>
    <row r="28" spans="1:18" x14ac:dyDescent="0.2">
      <c r="O28" s="606"/>
    </row>
  </sheetData>
  <mergeCells count="1">
    <mergeCell ref="A1:O1"/>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O35"/>
  <sheetViews>
    <sheetView workbookViewId="0">
      <selection sqref="A1:O1"/>
    </sheetView>
  </sheetViews>
  <sheetFormatPr baseColWidth="10" defaultRowHeight="12.75" x14ac:dyDescent="0.2"/>
  <cols>
    <col min="1" max="1" width="16.85546875" style="597" customWidth="1"/>
    <col min="2" max="2" width="9.28515625" style="597" hidden="1" customWidth="1"/>
    <col min="3" max="10" width="9.7109375" style="597" customWidth="1"/>
    <col min="11" max="11" width="11.7109375" style="597" customWidth="1"/>
    <col min="12" max="15" width="9.7109375" style="597" customWidth="1"/>
    <col min="16" max="16384" width="11.42578125" style="597"/>
  </cols>
  <sheetData>
    <row r="1" spans="1:15" x14ac:dyDescent="0.2">
      <c r="A1" s="1255" t="s">
        <v>483</v>
      </c>
      <c r="B1" s="1255"/>
      <c r="C1" s="1255"/>
      <c r="D1" s="1255"/>
      <c r="E1" s="1255"/>
      <c r="F1" s="1255"/>
      <c r="G1" s="1255"/>
      <c r="H1" s="1255"/>
      <c r="I1" s="1255"/>
      <c r="J1" s="1255"/>
      <c r="K1" s="1255"/>
      <c r="L1" s="1255"/>
      <c r="M1" s="1255"/>
      <c r="N1" s="1255"/>
      <c r="O1" s="1255"/>
    </row>
    <row r="2" spans="1:15" ht="13.5" thickBot="1" x14ac:dyDescent="0.25"/>
    <row r="3" spans="1:15" ht="34.5" thickBot="1" x14ac:dyDescent="0.25">
      <c r="A3" s="897" t="s">
        <v>343</v>
      </c>
      <c r="B3" s="901" t="s">
        <v>281</v>
      </c>
      <c r="C3" s="897" t="s">
        <v>1</v>
      </c>
      <c r="D3" s="899" t="s">
        <v>2</v>
      </c>
      <c r="E3" s="897" t="s">
        <v>3</v>
      </c>
      <c r="F3" s="899" t="s">
        <v>4</v>
      </c>
      <c r="G3" s="897" t="s">
        <v>5</v>
      </c>
      <c r="H3" s="897" t="s">
        <v>6</v>
      </c>
      <c r="I3" s="897" t="s">
        <v>7</v>
      </c>
      <c r="J3" s="899" t="s">
        <v>8</v>
      </c>
      <c r="K3" s="897" t="s">
        <v>9</v>
      </c>
      <c r="L3" s="899" t="s">
        <v>10</v>
      </c>
      <c r="M3" s="897" t="s">
        <v>11</v>
      </c>
      <c r="N3" s="897" t="s">
        <v>12</v>
      </c>
      <c r="O3" s="900" t="s">
        <v>168</v>
      </c>
    </row>
    <row r="4" spans="1:15" x14ac:dyDescent="0.2">
      <c r="A4" s="602" t="s">
        <v>282</v>
      </c>
      <c r="B4" s="613"/>
      <c r="C4" s="604">
        <f>'IEPS INCREMENTO'!C7+'IEPS ESTIMACIONES'!C7</f>
        <v>112893.06497605411</v>
      </c>
      <c r="D4" s="604">
        <f>'IEPS INCREMENTO'!D7+'IEPS ESTIMACIONES'!D7</f>
        <v>257267.74477841175</v>
      </c>
      <c r="E4" s="604">
        <f>'IEPS INCREMENTO'!E7+'IEPS ESTIMACIONES'!E7</f>
        <v>99385.813775644987</v>
      </c>
      <c r="F4" s="604">
        <f>'IEPS INCREMENTO'!F7+'IEPS ESTIMACIONES'!F7</f>
        <v>92456.482298389426</v>
      </c>
      <c r="G4" s="604">
        <f>'IEPS INCREMENTO'!G7+'IEPS ESTIMACIONES'!G7</f>
        <v>106591.2440185383</v>
      </c>
      <c r="H4" s="604">
        <f>'IEPS INCREMENTO'!H7+'IEPS ESTIMACIONES'!H7</f>
        <v>108278.7423441259</v>
      </c>
      <c r="I4" s="604">
        <f>'IEPS INCREMENTO'!I7+'IEPS ESTIMACIONES'!I7</f>
        <v>114269.49472922191</v>
      </c>
      <c r="J4" s="604">
        <f>'IEPS INCREMENTO'!J7+'IEPS ESTIMACIONES'!J7</f>
        <v>123663.01486645635</v>
      </c>
      <c r="K4" s="604">
        <f>'IEPS INCREMENTO'!K7+'IEPS ESTIMACIONES'!K7</f>
        <v>129168.09952417444</v>
      </c>
      <c r="L4" s="604">
        <f>'IEPS INCREMENTO'!L7+'IEPS ESTIMACIONES'!L7</f>
        <v>124180.25134604014</v>
      </c>
      <c r="M4" s="604">
        <f>'IEPS INCREMENTO'!M7+'IEPS ESTIMACIONES'!M7</f>
        <v>117684.78108448886</v>
      </c>
      <c r="N4" s="604">
        <f>'IEPS INCREMENTO'!N7+'IEPS ESTIMACIONES'!N7</f>
        <v>117279.16625845367</v>
      </c>
      <c r="O4" s="605">
        <f>SUM(C4:N4)</f>
        <v>1503117.8999999997</v>
      </c>
    </row>
    <row r="5" spans="1:15" x14ac:dyDescent="0.2">
      <c r="A5" s="602" t="s">
        <v>147</v>
      </c>
      <c r="B5" s="614"/>
      <c r="C5" s="604">
        <f>'IEPS INCREMENTO'!C8+'IEPS ESTIMACIONES'!C8</f>
        <v>139495.33055725734</v>
      </c>
      <c r="D5" s="604">
        <f>'IEPS INCREMENTO'!D8+'IEPS ESTIMACIONES'!D8</f>
        <v>297853.61352950206</v>
      </c>
      <c r="E5" s="604">
        <f>'IEPS INCREMENTO'!E8+'IEPS ESTIMACIONES'!E8</f>
        <v>127287.61421167184</v>
      </c>
      <c r="F5" s="604">
        <f>'IEPS INCREMENTO'!F8+'IEPS ESTIMACIONES'!F8</f>
        <v>124151.17478615251</v>
      </c>
      <c r="G5" s="604">
        <f>'IEPS INCREMENTO'!G8+'IEPS ESTIMACIONES'!G8</f>
        <v>136788.14853677427</v>
      </c>
      <c r="H5" s="604">
        <f>'IEPS INCREMENTO'!H8+'IEPS ESTIMACIONES'!H8</f>
        <v>139848.26755549375</v>
      </c>
      <c r="I5" s="604">
        <f>'IEPS INCREMENTO'!I8+'IEPS ESTIMACIONES'!I8</f>
        <v>146351.14270707118</v>
      </c>
      <c r="J5" s="604">
        <f>'IEPS INCREMENTO'!J8+'IEPS ESTIMACIONES'!J8</f>
        <v>156946.10490191833</v>
      </c>
      <c r="K5" s="604">
        <f>'IEPS INCREMENTO'!K8+'IEPS ESTIMACIONES'!K8</f>
        <v>161367.78484439888</v>
      </c>
      <c r="L5" s="604">
        <f>'IEPS INCREMENTO'!L8+'IEPS ESTIMACIONES'!L8</f>
        <v>155652.35419881271</v>
      </c>
      <c r="M5" s="604">
        <f>'IEPS INCREMENTO'!M8+'IEPS ESTIMACIONES'!M8</f>
        <v>148441.93542384176</v>
      </c>
      <c r="N5" s="604">
        <f>'IEPS INCREMENTO'!N8+'IEPS ESTIMACIONES'!N8</f>
        <v>148158.42874710535</v>
      </c>
      <c r="O5" s="605">
        <f t="shared" ref="O5:O23" si="0">SUM(C5:N5)</f>
        <v>1882341.9000000001</v>
      </c>
    </row>
    <row r="6" spans="1:15" x14ac:dyDescent="0.2">
      <c r="A6" s="602" t="s">
        <v>148</v>
      </c>
      <c r="B6" s="614"/>
      <c r="C6" s="604">
        <f>'IEPS INCREMENTO'!C9+'IEPS ESTIMACIONES'!C9</f>
        <v>144410.96658856666</v>
      </c>
      <c r="D6" s="604">
        <f>'IEPS INCREMENTO'!D9+'IEPS ESTIMACIONES'!D9</f>
        <v>305353.17623350781</v>
      </c>
      <c r="E6" s="604">
        <f>'IEPS INCREMENTO'!E9+'IEPS ESTIMACIONES'!E9</f>
        <v>132443.38168354635</v>
      </c>
      <c r="F6" s="604">
        <f>'IEPS INCREMENTO'!F9+'IEPS ESTIMACIONES'!F9</f>
        <v>130007.80274584786</v>
      </c>
      <c r="G6" s="604">
        <f>'IEPS INCREMENTO'!G9+'IEPS ESTIMACIONES'!G9</f>
        <v>142368.01132818742</v>
      </c>
      <c r="H6" s="604">
        <f>'IEPS INCREMENTO'!H9+'IEPS ESTIMACIONES'!H9</f>
        <v>145681.76677933344</v>
      </c>
      <c r="I6" s="604">
        <f>'IEPS INCREMENTO'!I9+'IEPS ESTIMACIONES'!I9</f>
        <v>152279.27331167375</v>
      </c>
      <c r="J6" s="604">
        <f>'IEPS INCREMENTO'!J9+'IEPS ESTIMACIONES'!J9</f>
        <v>163096.24110412327</v>
      </c>
      <c r="K6" s="604">
        <f>'IEPS INCREMENTO'!K9+'IEPS ESTIMACIONES'!K9</f>
        <v>167317.72669704905</v>
      </c>
      <c r="L6" s="604">
        <f>'IEPS INCREMENTO'!L9+'IEPS ESTIMACIONES'!L9</f>
        <v>161467.8514650859</v>
      </c>
      <c r="M6" s="604">
        <f>'IEPS INCREMENTO'!M9+'IEPS ESTIMACIONES'!M9</f>
        <v>154125.32263872219</v>
      </c>
      <c r="N6" s="604">
        <f>'IEPS INCREMENTO'!N9+'IEPS ESTIMACIONES'!N9</f>
        <v>153864.37942435622</v>
      </c>
      <c r="O6" s="605">
        <f t="shared" si="0"/>
        <v>1952415.9</v>
      </c>
    </row>
    <row r="7" spans="1:15" x14ac:dyDescent="0.2">
      <c r="A7" s="602" t="s">
        <v>283</v>
      </c>
      <c r="B7" s="614"/>
      <c r="C7" s="604">
        <f>'IEPS INCREMENTO'!C10+'IEPS ESTIMACIONES'!C10</f>
        <v>129374.90343397351</v>
      </c>
      <c r="D7" s="604">
        <f>'IEPS INCREMENTO'!D10+'IEPS ESTIMACIONES'!D10</f>
        <v>282413.33737419592</v>
      </c>
      <c r="E7" s="604">
        <f>'IEPS INCREMENTO'!E10+'IEPS ESTIMACIONES'!E10</f>
        <v>116672.79882840076</v>
      </c>
      <c r="F7" s="604">
        <f>'IEPS INCREMENTO'!F10+'IEPS ESTIMACIONES'!F10</f>
        <v>112093.4113397209</v>
      </c>
      <c r="G7" s="604">
        <f>'IEPS INCREMENTO'!G10+'IEPS ESTIMACIONES'!G10</f>
        <v>125300.19573092365</v>
      </c>
      <c r="H7" s="604">
        <f>'IEPS INCREMENTO'!H10+'IEPS ESTIMACIONES'!H10</f>
        <v>127838.12209464729</v>
      </c>
      <c r="I7" s="604">
        <f>'IEPS INCREMENTO'!I10+'IEPS ESTIMACIONES'!I10</f>
        <v>134146.1679328894</v>
      </c>
      <c r="J7" s="604">
        <f>'IEPS INCREMENTO'!J10+'IEPS ESTIMACIONES'!J10</f>
        <v>144284.05977973173</v>
      </c>
      <c r="K7" s="604">
        <f>'IEPS INCREMENTO'!K10+'IEPS ESTIMACIONES'!K10</f>
        <v>149117.9045595309</v>
      </c>
      <c r="L7" s="604">
        <f>'IEPS INCREMENTO'!L10+'IEPS ESTIMACIONES'!L10</f>
        <v>143679.27159177966</v>
      </c>
      <c r="M7" s="604">
        <f>'IEPS INCREMENTO'!M10+'IEPS ESTIMACIONES'!M10</f>
        <v>136740.84409908793</v>
      </c>
      <c r="N7" s="604">
        <f>'IEPS INCREMENTO'!N10+'IEPS ESTIMACIONES'!N10</f>
        <v>136410.88323511829</v>
      </c>
      <c r="O7" s="605">
        <f t="shared" si="0"/>
        <v>1738071.9000000001</v>
      </c>
    </row>
    <row r="8" spans="1:15" x14ac:dyDescent="0.2">
      <c r="A8" s="602" t="s">
        <v>150</v>
      </c>
      <c r="B8" s="614"/>
      <c r="C8" s="604">
        <f>'IEPS INCREMENTO'!C11+'IEPS ESTIMACIONES'!C11</f>
        <v>100314.81983711563</v>
      </c>
      <c r="D8" s="604">
        <f>'IEPS INCREMENTO'!D11+'IEPS ESTIMACIONES'!D11</f>
        <v>238077.68727110277</v>
      </c>
      <c r="E8" s="604">
        <f>'IEPS INCREMENTO'!E11+'IEPS ESTIMACIONES'!E11</f>
        <v>86193.11465643665</v>
      </c>
      <c r="F8" s="604">
        <f>'IEPS INCREMENTO'!F11+'IEPS ESTIMACIONES'!F11</f>
        <v>77470.404872110157</v>
      </c>
      <c r="G8" s="604">
        <f>'IEPS INCREMENTO'!G11+'IEPS ESTIMACIONES'!G11</f>
        <v>92313.359816981101</v>
      </c>
      <c r="H8" s="604">
        <f>'IEPS INCREMENTO'!H11+'IEPS ESTIMACIONES'!H11</f>
        <v>93351.847271359584</v>
      </c>
      <c r="I8" s="604">
        <f>'IEPS INCREMENTO'!I11+'IEPS ESTIMACIONES'!I11</f>
        <v>99100.45465273883</v>
      </c>
      <c r="J8" s="604">
        <f>'IEPS INCREMENTO'!J11+'IEPS ESTIMACIONES'!J11</f>
        <v>107925.90164316726</v>
      </c>
      <c r="K8" s="604">
        <f>'IEPS INCREMENTO'!K11+'IEPS ESTIMACIONES'!K11</f>
        <v>113943.24831298138</v>
      </c>
      <c r="L8" s="604">
        <f>'IEPS INCREMENTO'!L11+'IEPS ESTIMACIONES'!L11</f>
        <v>109299.42010587052</v>
      </c>
      <c r="M8" s="604">
        <f>'IEPS INCREMENTO'!M11+'IEPS ESTIMACIONES'!M11</f>
        <v>103141.99615229483</v>
      </c>
      <c r="N8" s="604">
        <f>'IEPS INCREMENTO'!N11+'IEPS ESTIMACIONES'!N11</f>
        <v>102678.64540784119</v>
      </c>
      <c r="O8" s="605">
        <f t="shared" si="0"/>
        <v>1323810.8999999999</v>
      </c>
    </row>
    <row r="9" spans="1:15" x14ac:dyDescent="0.2">
      <c r="A9" s="602" t="s">
        <v>284</v>
      </c>
      <c r="B9" s="614"/>
      <c r="C9" s="604">
        <f>'IEPS INCREMENTO'!C12+'IEPS ESTIMACIONES'!C12</f>
        <v>193422.74937132697</v>
      </c>
      <c r="D9" s="604">
        <f>'IEPS INCREMENTO'!D12+'IEPS ESTIMACIONES'!D12</f>
        <v>380128.2278999188</v>
      </c>
      <c r="E9" s="604">
        <f>'IEPS INCREMENTO'!E12+'IEPS ESTIMACIONES'!E12</f>
        <v>183849.41618253064</v>
      </c>
      <c r="F9" s="604">
        <f>'IEPS INCREMENTO'!F12+'IEPS ESTIMACIONES'!F12</f>
        <v>188401.82857928093</v>
      </c>
      <c r="G9" s="604">
        <f>'IEPS INCREMENTO'!G12+'IEPS ESTIMACIONES'!G12</f>
        <v>198002.52563080695</v>
      </c>
      <c r="H9" s="604">
        <f>'IEPS INCREMENTO'!H12+'IEPS ESTIMACIONES'!H12</f>
        <v>203845.18551114705</v>
      </c>
      <c r="I9" s="604">
        <f>'IEPS INCREMENTO'!I12+'IEPS ESTIMACIONES'!I12</f>
        <v>211386.22257521126</v>
      </c>
      <c r="J9" s="604">
        <f>'IEPS INCREMENTO'!J12+'IEPS ESTIMACIONES'!J12</f>
        <v>224416.71676728426</v>
      </c>
      <c r="K9" s="604">
        <f>'IEPS INCREMENTO'!K12+'IEPS ESTIMACIONES'!K12</f>
        <v>226642.1469337669</v>
      </c>
      <c r="L9" s="604">
        <f>'IEPS INCREMENTO'!L12+'IEPS ESTIMACIONES'!L12</f>
        <v>219451.7800905745</v>
      </c>
      <c r="M9" s="604">
        <f>'IEPS INCREMENTO'!M12+'IEPS ESTIMACIONES'!M12</f>
        <v>210792.03634003</v>
      </c>
      <c r="N9" s="604">
        <f>'IEPS INCREMENTO'!N12+'IEPS ESTIMACIONES'!N12</f>
        <v>210756.0641181221</v>
      </c>
      <c r="O9" s="605">
        <f t="shared" si="0"/>
        <v>2651094.9000000008</v>
      </c>
    </row>
    <row r="10" spans="1:15" x14ac:dyDescent="0.2">
      <c r="A10" s="602" t="s">
        <v>152</v>
      </c>
      <c r="B10" s="614"/>
      <c r="C10" s="604">
        <f>'IEPS INCREMENTO'!C13+'IEPS ESTIMACIONES'!C13</f>
        <v>190820.35382533967</v>
      </c>
      <c r="D10" s="604">
        <f>'IEPS INCREMENTO'!D13+'IEPS ESTIMACIONES'!D13</f>
        <v>376157.8711742686</v>
      </c>
      <c r="E10" s="604">
        <f>'IEPS INCREMENTO'!E13+'IEPS ESTIMACIONES'!E13</f>
        <v>181119.89222683234</v>
      </c>
      <c r="F10" s="604">
        <f>'IEPS INCREMENTO'!F13+'IEPS ESTIMACIONES'!F13</f>
        <v>185301.26083591281</v>
      </c>
      <c r="G10" s="604">
        <f>'IEPS INCREMENTO'!G13+'IEPS ESTIMACIONES'!G13</f>
        <v>195048.4806235882</v>
      </c>
      <c r="H10" s="604">
        <f>'IEPS INCREMENTO'!H13+'IEPS ESTIMACIONES'!H13</f>
        <v>200756.86239264364</v>
      </c>
      <c r="I10" s="604">
        <f>'IEPS INCREMENTO'!I13+'IEPS ESTIMACIONES'!I13</f>
        <v>208247.80049042165</v>
      </c>
      <c r="J10" s="604">
        <f>'IEPS INCREMENTO'!J13+'IEPS ESTIMACIONES'!J13</f>
        <v>221160.76230729336</v>
      </c>
      <c r="K10" s="604">
        <f>'IEPS INCREMENTO'!K13+'IEPS ESTIMACIONES'!K13</f>
        <v>223492.17771765796</v>
      </c>
      <c r="L10" s="604">
        <f>'IEPS INCREMENTO'!L13+'IEPS ESTIMACIONES'!L13</f>
        <v>216372.98742019455</v>
      </c>
      <c r="M10" s="604">
        <f>'IEPS INCREMENTO'!M13+'IEPS ESTIMACIONES'!M13</f>
        <v>207783.1842850933</v>
      </c>
      <c r="N10" s="604">
        <f>'IEPS INCREMENTO'!N13+'IEPS ESTIMACIONES'!N13</f>
        <v>207735.26670075397</v>
      </c>
      <c r="O10" s="605">
        <f t="shared" si="0"/>
        <v>2613996.9</v>
      </c>
    </row>
    <row r="11" spans="1:15" x14ac:dyDescent="0.2">
      <c r="A11" s="602" t="s">
        <v>153</v>
      </c>
      <c r="B11" s="614"/>
      <c r="C11" s="604">
        <f>'IEPS INCREMENTO'!C14+'IEPS ESTIMACIONES'!C14</f>
        <v>121278.56173534643</v>
      </c>
      <c r="D11" s="604">
        <f>'IEPS INCREMENTO'!D14+'IEPS ESTIMACIONES'!D14</f>
        <v>270061.11644995108</v>
      </c>
      <c r="E11" s="604">
        <f>'IEPS INCREMENTO'!E14+'IEPS ESTIMACIONES'!E14</f>
        <v>108180.94652178389</v>
      </c>
      <c r="F11" s="604">
        <f>'IEPS INCREMENTO'!F14+'IEPS ESTIMACIONES'!F14</f>
        <v>102447.20058257562</v>
      </c>
      <c r="G11" s="604">
        <f>'IEPS INCREMENTO'!G14+'IEPS ESTIMACIONES'!G14</f>
        <v>116109.83348624312</v>
      </c>
      <c r="H11" s="604">
        <f>'IEPS INCREMENTO'!H14+'IEPS ESTIMACIONES'!H14</f>
        <v>118230.00572597011</v>
      </c>
      <c r="I11" s="604">
        <f>'IEPS INCREMENTO'!I14+'IEPS ESTIMACIONES'!I14</f>
        <v>124382.18811354396</v>
      </c>
      <c r="J11" s="604">
        <f>'IEPS INCREMENTO'!J14+'IEPS ESTIMACIONES'!J14</f>
        <v>134154.42368198241</v>
      </c>
      <c r="K11" s="604">
        <f>'IEPS INCREMENTO'!K14+'IEPS ESTIMACIONES'!K14</f>
        <v>139318.00033163649</v>
      </c>
      <c r="L11" s="604">
        <f>'IEPS INCREMENTO'!L14+'IEPS ESTIMACIONES'!L14</f>
        <v>134100.80550615324</v>
      </c>
      <c r="M11" s="604">
        <f>'IEPS INCREMENTO'!M14+'IEPS ESTIMACIONES'!M14</f>
        <v>127379.97103928488</v>
      </c>
      <c r="N11" s="604">
        <f>'IEPS INCREMENTO'!N14+'IEPS ESTIMACIONES'!N14</f>
        <v>127012.84682552866</v>
      </c>
      <c r="O11" s="605">
        <f t="shared" si="0"/>
        <v>1622655.9</v>
      </c>
    </row>
    <row r="12" spans="1:15" x14ac:dyDescent="0.2">
      <c r="A12" s="602" t="s">
        <v>154</v>
      </c>
      <c r="B12" s="614"/>
      <c r="C12" s="604">
        <f>'IEPS INCREMENTO'!C15+'IEPS ESTIMACIONES'!C15</f>
        <v>129374.90343397351</v>
      </c>
      <c r="D12" s="604">
        <f>'IEPS INCREMENTO'!D15+'IEPS ESTIMACIONES'!D15</f>
        <v>282413.33737419592</v>
      </c>
      <c r="E12" s="604">
        <f>'IEPS INCREMENTO'!E15+'IEPS ESTIMACIONES'!E15</f>
        <v>116672.79882840076</v>
      </c>
      <c r="F12" s="604">
        <f>'IEPS INCREMENTO'!F15+'IEPS ESTIMACIONES'!F15</f>
        <v>112093.4113397209</v>
      </c>
      <c r="G12" s="604">
        <f>'IEPS INCREMENTO'!G15+'IEPS ESTIMACIONES'!G15</f>
        <v>125300.19573092365</v>
      </c>
      <c r="H12" s="604">
        <f>'IEPS INCREMENTO'!H15+'IEPS ESTIMACIONES'!H15</f>
        <v>127838.12209464729</v>
      </c>
      <c r="I12" s="604">
        <f>'IEPS INCREMENTO'!I15+'IEPS ESTIMACIONES'!I15</f>
        <v>134146.1679328894</v>
      </c>
      <c r="J12" s="604">
        <f>'IEPS INCREMENTO'!J15+'IEPS ESTIMACIONES'!J15</f>
        <v>144284.05977973173</v>
      </c>
      <c r="K12" s="604">
        <f>'IEPS INCREMENTO'!K15+'IEPS ESTIMACIONES'!K15</f>
        <v>149117.9045595309</v>
      </c>
      <c r="L12" s="604">
        <f>'IEPS INCREMENTO'!L15+'IEPS ESTIMACIONES'!L15</f>
        <v>143679.27159177966</v>
      </c>
      <c r="M12" s="604">
        <f>'IEPS INCREMENTO'!M15+'IEPS ESTIMACIONES'!M15</f>
        <v>136740.84409908793</v>
      </c>
      <c r="N12" s="604">
        <f>'IEPS INCREMENTO'!N15+'IEPS ESTIMACIONES'!N15</f>
        <v>136410.88323511829</v>
      </c>
      <c r="O12" s="605">
        <f t="shared" si="0"/>
        <v>1738071.9000000001</v>
      </c>
    </row>
    <row r="13" spans="1:15" x14ac:dyDescent="0.2">
      <c r="A13" s="602" t="s">
        <v>155</v>
      </c>
      <c r="B13" s="614"/>
      <c r="C13" s="604">
        <f>'IEPS INCREMENTO'!C16+'IEPS ESTIMACIONES'!C16</f>
        <v>184892.67508170201</v>
      </c>
      <c r="D13" s="604">
        <f>'IEPS INCREMENTO'!D16+'IEPS ESTIMACIONES'!D16</f>
        <v>367114.28085473221</v>
      </c>
      <c r="E13" s="604">
        <f>'IEPS INCREMENTO'!E16+'IEPS ESTIMACIONES'!E16</f>
        <v>174902.64321663071</v>
      </c>
      <c r="F13" s="604">
        <f>'IEPS INCREMENTO'!F16+'IEPS ESTIMACIONES'!F16</f>
        <v>178238.8565315743</v>
      </c>
      <c r="G13" s="604">
        <f>'IEPS INCREMENTO'!G16+'IEPS ESTIMACIONES'!G16</f>
        <v>188319.82255158998</v>
      </c>
      <c r="H13" s="604">
        <f>'IEPS INCREMENTO'!H16+'IEPS ESTIMACIONES'!H16</f>
        <v>193722.34862271929</v>
      </c>
      <c r="I13" s="604">
        <f>'IEPS INCREMENTO'!I16+'IEPS ESTIMACIONES'!I16</f>
        <v>201099.17240840089</v>
      </c>
      <c r="J13" s="604">
        <f>'IEPS INCREMENTO'!J16+'IEPS ESTIMACIONES'!J16</f>
        <v>213744.4215928698</v>
      </c>
      <c r="K13" s="604">
        <f>'IEPS INCREMENTO'!K16+'IEPS ESTIMACIONES'!K16</f>
        <v>216317.24783652101</v>
      </c>
      <c r="L13" s="604">
        <f>'IEPS INCREMENTO'!L16+'IEPS ESTIMACIONES'!L16</f>
        <v>209360.18189321808</v>
      </c>
      <c r="M13" s="604">
        <f>'IEPS INCREMENTO'!M16+'IEPS ESTIMACIONES'!M16</f>
        <v>200929.6879377375</v>
      </c>
      <c r="N13" s="604">
        <f>'IEPS INCREMENTO'!N16+'IEPS ESTIMACIONES'!N16</f>
        <v>200854.56147230443</v>
      </c>
      <c r="O13" s="605">
        <f t="shared" si="0"/>
        <v>2529495.9</v>
      </c>
    </row>
    <row r="14" spans="1:15" x14ac:dyDescent="0.2">
      <c r="A14" s="602" t="s">
        <v>156</v>
      </c>
      <c r="B14" s="614"/>
      <c r="C14" s="604">
        <f>'IEPS INCREMENTO'!C17+'IEPS ESTIMACIONES'!C17</f>
        <v>128507.43825197776</v>
      </c>
      <c r="D14" s="604">
        <f>'IEPS INCREMENTO'!D17+'IEPS ESTIMACIONES'!D17</f>
        <v>281089.88513231254</v>
      </c>
      <c r="E14" s="604">
        <f>'IEPS INCREMENTO'!E17+'IEPS ESTIMACIONES'!E17</f>
        <v>115762.95750983467</v>
      </c>
      <c r="F14" s="604">
        <f>'IEPS INCREMENTO'!F17+'IEPS ESTIMACIONES'!F17</f>
        <v>111059.8887585982</v>
      </c>
      <c r="G14" s="604">
        <f>'IEPS INCREMENTO'!G17+'IEPS ESTIMACIONES'!G17</f>
        <v>124315.51406185073</v>
      </c>
      <c r="H14" s="604">
        <f>'IEPS INCREMENTO'!H17+'IEPS ESTIMACIONES'!H17</f>
        <v>126808.68105514615</v>
      </c>
      <c r="I14" s="604">
        <f>'IEPS INCREMENTO'!I17+'IEPS ESTIMACIONES'!I17</f>
        <v>133100.02723795953</v>
      </c>
      <c r="J14" s="604">
        <f>'IEPS INCREMENTO'!J17+'IEPS ESTIMACIONES'!J17</f>
        <v>143198.74162640143</v>
      </c>
      <c r="K14" s="604">
        <f>'IEPS INCREMENTO'!K17+'IEPS ESTIMACIONES'!K17</f>
        <v>148067.91482082792</v>
      </c>
      <c r="L14" s="604">
        <f>'IEPS INCREMENTO'!L17+'IEPS ESTIMACIONES'!L17</f>
        <v>142653.0073683197</v>
      </c>
      <c r="M14" s="604">
        <f>'IEPS INCREMENTO'!M17+'IEPS ESTIMACIONES'!M17</f>
        <v>135737.89341410904</v>
      </c>
      <c r="N14" s="604">
        <f>'IEPS INCREMENTO'!N17+'IEPS ESTIMACIONES'!N17</f>
        <v>135403.95076266228</v>
      </c>
      <c r="O14" s="605">
        <f t="shared" si="0"/>
        <v>1725705.9000000001</v>
      </c>
    </row>
    <row r="15" spans="1:15" x14ac:dyDescent="0.2">
      <c r="A15" s="602" t="s">
        <v>157</v>
      </c>
      <c r="B15" s="614"/>
      <c r="C15" s="604">
        <f>'IEPS INCREMENTO'!C18+'IEPS ESTIMACIONES'!C18</f>
        <v>117953.27853769604</v>
      </c>
      <c r="D15" s="604">
        <f>'IEPS INCREMENTO'!D18+'IEPS ESTIMACIONES'!D18</f>
        <v>264987.88285606483</v>
      </c>
      <c r="E15" s="604">
        <f>'IEPS INCREMENTO'!E18+'IEPS ESTIMACIONES'!E18</f>
        <v>104693.22146728054</v>
      </c>
      <c r="F15" s="604">
        <f>'IEPS INCREMENTO'!F18+'IEPS ESTIMACIONES'!F18</f>
        <v>98485.364021605244</v>
      </c>
      <c r="G15" s="604">
        <f>'IEPS INCREMENTO'!G18+'IEPS ESTIMACIONES'!G18</f>
        <v>112335.22042146363</v>
      </c>
      <c r="H15" s="604">
        <f>'IEPS INCREMENTO'!H18+'IEPS ESTIMACIONES'!H18</f>
        <v>114283.81507454914</v>
      </c>
      <c r="I15" s="604">
        <f>'IEPS INCREMENTO'!I18+'IEPS ESTIMACIONES'!I18</f>
        <v>120371.98211631281</v>
      </c>
      <c r="J15" s="604">
        <f>'IEPS INCREMENTO'!J18+'IEPS ESTIMACIONES'!J18</f>
        <v>129994.03742754967</v>
      </c>
      <c r="K15" s="604">
        <f>'IEPS INCREMENTO'!K18+'IEPS ESTIMACIONES'!K18</f>
        <v>135293.03966660844</v>
      </c>
      <c r="L15" s="604">
        <f>'IEPS INCREMENTO'!L18+'IEPS ESTIMACIONES'!L18</f>
        <v>130166.79264955668</v>
      </c>
      <c r="M15" s="604">
        <f>'IEPS INCREMENTO'!M18+'IEPS ESTIMACIONES'!M18</f>
        <v>123535.32674686577</v>
      </c>
      <c r="N15" s="604">
        <f>'IEPS INCREMENTO'!N18+'IEPS ESTIMACIONES'!N18</f>
        <v>123152.9390144472</v>
      </c>
      <c r="O15" s="605">
        <f t="shared" si="0"/>
        <v>1575252.9000000001</v>
      </c>
    </row>
    <row r="16" spans="1:15" x14ac:dyDescent="0.2">
      <c r="A16" s="602" t="s">
        <v>158</v>
      </c>
      <c r="B16" s="614"/>
      <c r="C16" s="604">
        <f>'IEPS INCREMENTO'!C19+'IEPS ESTIMACIONES'!C19</f>
        <v>99881.08724611775</v>
      </c>
      <c r="D16" s="604">
        <f>'IEPS INCREMENTO'!D19+'IEPS ESTIMACIONES'!D19</f>
        <v>237415.96115016108</v>
      </c>
      <c r="E16" s="604">
        <f>'IEPS INCREMENTO'!E19+'IEPS ESTIMACIONES'!E19</f>
        <v>85738.193997153605</v>
      </c>
      <c r="F16" s="604">
        <f>'IEPS INCREMENTO'!F19+'IEPS ESTIMACIONES'!F19</f>
        <v>76953.643581548793</v>
      </c>
      <c r="G16" s="604">
        <f>'IEPS INCREMENTO'!G19+'IEPS ESTIMACIONES'!G19</f>
        <v>91821.018982444628</v>
      </c>
      <c r="H16" s="604">
        <f>'IEPS INCREMENTO'!H19+'IEPS ESTIMACIONES'!H19</f>
        <v>92837.12675160903</v>
      </c>
      <c r="I16" s="604">
        <f>'IEPS INCREMENTO'!I19+'IEPS ESTIMACIONES'!I19</f>
        <v>98577.384305273896</v>
      </c>
      <c r="J16" s="604">
        <f>'IEPS INCREMENTO'!J19+'IEPS ESTIMACIONES'!J19</f>
        <v>107383.24256650211</v>
      </c>
      <c r="K16" s="604">
        <f>'IEPS INCREMENTO'!K19+'IEPS ESTIMACIONES'!K19</f>
        <v>113418.25344362989</v>
      </c>
      <c r="L16" s="604">
        <f>'IEPS INCREMENTO'!L19+'IEPS ESTIMACIONES'!L19</f>
        <v>108786.28799414053</v>
      </c>
      <c r="M16" s="604">
        <f>'IEPS INCREMENTO'!M19+'IEPS ESTIMACIONES'!M19</f>
        <v>102640.52080980537</v>
      </c>
      <c r="N16" s="604">
        <f>'IEPS INCREMENTO'!N19+'IEPS ESTIMACIONES'!N19</f>
        <v>102175.17917161318</v>
      </c>
      <c r="O16" s="605">
        <f t="shared" si="0"/>
        <v>1317627.8999999997</v>
      </c>
    </row>
    <row r="17" spans="1:15" x14ac:dyDescent="0.2">
      <c r="A17" s="602" t="s">
        <v>285</v>
      </c>
      <c r="B17" s="614"/>
      <c r="C17" s="604">
        <f>'IEPS INCREMENTO'!C20+'IEPS ESTIMACIONES'!C20</f>
        <v>152796.46334785898</v>
      </c>
      <c r="D17" s="604">
        <f>'IEPS INCREMENTO'!D20+'IEPS ESTIMACIONES'!D20</f>
        <v>318146.54790504719</v>
      </c>
      <c r="E17" s="604">
        <f>'IEPS INCREMENTO'!E20+'IEPS ESTIMACIONES'!E20</f>
        <v>141238.51442968528</v>
      </c>
      <c r="F17" s="604">
        <f>'IEPS INCREMENTO'!F20+'IEPS ESTIMACIONES'!F20</f>
        <v>139998.52103003406</v>
      </c>
      <c r="G17" s="604">
        <f>'IEPS INCREMENTO'!G20+'IEPS ESTIMACIONES'!G20</f>
        <v>151886.60079589224</v>
      </c>
      <c r="H17" s="604">
        <f>'IEPS INCREMENTO'!H20+'IEPS ESTIMACIONES'!H20</f>
        <v>155633.03016117768</v>
      </c>
      <c r="I17" s="604">
        <f>'IEPS INCREMENTO'!I20+'IEPS ESTIMACIONES'!I20</f>
        <v>162391.96669599583</v>
      </c>
      <c r="J17" s="604">
        <f>'IEPS INCREMENTO'!J20+'IEPS ESTIMACIONES'!J20</f>
        <v>173587.64991964935</v>
      </c>
      <c r="K17" s="604">
        <f>'IEPS INCREMENTO'!K20+'IEPS ESTIMACIONES'!K20</f>
        <v>177467.6275045111</v>
      </c>
      <c r="L17" s="604">
        <f>'IEPS INCREMENTO'!L20+'IEPS ESTIMACIONES'!L20</f>
        <v>171388.405625199</v>
      </c>
      <c r="M17" s="604">
        <f>'IEPS INCREMENTO'!M20+'IEPS ESTIMACIONES'!M20</f>
        <v>163820.51259351824</v>
      </c>
      <c r="N17" s="604">
        <f>'IEPS INCREMENTO'!N20+'IEPS ESTIMACIONES'!N20</f>
        <v>163598.05999143119</v>
      </c>
      <c r="O17" s="605">
        <f t="shared" si="0"/>
        <v>2071953.9000000001</v>
      </c>
    </row>
    <row r="18" spans="1:15" x14ac:dyDescent="0.2">
      <c r="A18" s="602" t="s">
        <v>286</v>
      </c>
      <c r="B18" s="614"/>
      <c r="C18" s="604">
        <f>'IEPS INCREMENTO'!C21+'IEPS ESTIMACIONES'!C21</f>
        <v>129374.90343397351</v>
      </c>
      <c r="D18" s="604">
        <f>'IEPS INCREMENTO'!D21+'IEPS ESTIMACIONES'!D21</f>
        <v>282413.33737419592</v>
      </c>
      <c r="E18" s="604">
        <f>'IEPS INCREMENTO'!E21+'IEPS ESTIMACIONES'!E21</f>
        <v>116672.79882840076</v>
      </c>
      <c r="F18" s="604">
        <f>'IEPS INCREMENTO'!F21+'IEPS ESTIMACIONES'!F21</f>
        <v>112093.4113397209</v>
      </c>
      <c r="G18" s="604">
        <f>'IEPS INCREMENTO'!G21+'IEPS ESTIMACIONES'!G21</f>
        <v>125300.19573092365</v>
      </c>
      <c r="H18" s="604">
        <f>'IEPS INCREMENTO'!H21+'IEPS ESTIMACIONES'!H21</f>
        <v>127838.12209464729</v>
      </c>
      <c r="I18" s="604">
        <f>'IEPS INCREMENTO'!I21+'IEPS ESTIMACIONES'!I21</f>
        <v>134146.1679328894</v>
      </c>
      <c r="J18" s="604">
        <f>'IEPS INCREMENTO'!J21+'IEPS ESTIMACIONES'!J21</f>
        <v>144284.05977973173</v>
      </c>
      <c r="K18" s="604">
        <f>'IEPS INCREMENTO'!K21+'IEPS ESTIMACIONES'!K21</f>
        <v>149117.9045595309</v>
      </c>
      <c r="L18" s="604">
        <f>'IEPS INCREMENTO'!L21+'IEPS ESTIMACIONES'!L21</f>
        <v>143679.27159177966</v>
      </c>
      <c r="M18" s="604">
        <f>'IEPS INCREMENTO'!M21+'IEPS ESTIMACIONES'!M21</f>
        <v>136740.84409908793</v>
      </c>
      <c r="N18" s="604">
        <f>'IEPS INCREMENTO'!N21+'IEPS ESTIMACIONES'!N21</f>
        <v>136410.88323511829</v>
      </c>
      <c r="O18" s="605">
        <f t="shared" si="0"/>
        <v>1738071.9000000001</v>
      </c>
    </row>
    <row r="19" spans="1:15" x14ac:dyDescent="0.2">
      <c r="A19" s="602" t="s">
        <v>287</v>
      </c>
      <c r="B19" s="614"/>
      <c r="C19" s="604">
        <f>'IEPS INCREMENTO'!C22+'IEPS ESTIMACIONES'!C22</f>
        <v>80507.698181545828</v>
      </c>
      <c r="D19" s="604">
        <f>'IEPS INCREMENTO'!D22+'IEPS ESTIMACIONES'!D22</f>
        <v>207858.86108143229</v>
      </c>
      <c r="E19" s="604">
        <f>'IEPS INCREMENTO'!E22+'IEPS ESTIMACIONES'!E22</f>
        <v>65418.404549177525</v>
      </c>
      <c r="F19" s="604">
        <f>'IEPS INCREMENTO'!F22+'IEPS ESTIMACIONES'!F22</f>
        <v>53871.639269808293</v>
      </c>
      <c r="G19" s="604">
        <f>'IEPS INCREMENTO'!G22+'IEPS ESTIMACIONES'!G22</f>
        <v>69829.795039816279</v>
      </c>
      <c r="H19" s="604">
        <f>'IEPS INCREMENTO'!H22+'IEPS ESTIMACIONES'!H22</f>
        <v>69846.276869417226</v>
      </c>
      <c r="I19" s="604">
        <f>'IEPS INCREMENTO'!I22+'IEPS ESTIMACIONES'!I22</f>
        <v>75213.575451840181</v>
      </c>
      <c r="J19" s="604">
        <f>'IEPS INCREMENTO'!J22+'IEPS ESTIMACIONES'!J22</f>
        <v>83144.470475459151</v>
      </c>
      <c r="K19" s="604">
        <f>'IEPS INCREMENTO'!K22+'IEPS ESTIMACIONES'!K22</f>
        <v>89968.482612596883</v>
      </c>
      <c r="L19" s="604">
        <f>'IEPS INCREMENTO'!L22+'IEPS ESTIMACIONES'!L22</f>
        <v>85866.387003534415</v>
      </c>
      <c r="M19" s="604">
        <f>'IEPS INCREMENTO'!M22+'IEPS ESTIMACIONES'!M22</f>
        <v>80241.288845276635</v>
      </c>
      <c r="N19" s="604">
        <f>'IEPS INCREMENTO'!N22+'IEPS ESTIMACIONES'!N22</f>
        <v>79687.020620095107</v>
      </c>
      <c r="O19" s="605">
        <f t="shared" si="0"/>
        <v>1041453.8999999999</v>
      </c>
    </row>
    <row r="20" spans="1:15" x14ac:dyDescent="0.2">
      <c r="A20" s="602" t="s">
        <v>162</v>
      </c>
      <c r="B20" s="614"/>
      <c r="C20" s="604">
        <f>'IEPS INCREMENTO'!C23+'IEPS ESTIMACIONES'!C23</f>
        <v>114917.15040071089</v>
      </c>
      <c r="D20" s="604">
        <f>'IEPS INCREMENTO'!D23+'IEPS ESTIMACIONES'!D23</f>
        <v>260355.80000947299</v>
      </c>
      <c r="E20" s="604">
        <f>'IEPS INCREMENTO'!E23+'IEPS ESTIMACIONES'!E23</f>
        <v>101508.77685229923</v>
      </c>
      <c r="F20" s="604">
        <f>'IEPS INCREMENTO'!F23+'IEPS ESTIMACIONES'!F23</f>
        <v>94868.034987675768</v>
      </c>
      <c r="G20" s="604">
        <f>'IEPS INCREMENTO'!G23+'IEPS ESTIMACIONES'!G23</f>
        <v>108888.83457970843</v>
      </c>
      <c r="H20" s="604">
        <f>'IEPS INCREMENTO'!H23+'IEPS ESTIMACIONES'!H23</f>
        <v>110680.77143629521</v>
      </c>
      <c r="I20" s="604">
        <f>'IEPS INCREMENTO'!I23+'IEPS ESTIMACIONES'!I23</f>
        <v>116710.48968405827</v>
      </c>
      <c r="J20" s="604">
        <f>'IEPS INCREMENTO'!J23+'IEPS ESTIMACIONES'!J23</f>
        <v>126195.42389089368</v>
      </c>
      <c r="K20" s="604">
        <f>'IEPS INCREMENTO'!K23+'IEPS ESTIMACIONES'!K23</f>
        <v>131618.07558114803</v>
      </c>
      <c r="L20" s="604">
        <f>'IEPS INCREMENTO'!L23+'IEPS ESTIMACIONES'!L23</f>
        <v>126574.86786744677</v>
      </c>
      <c r="M20" s="604">
        <f>'IEPS INCREMENTO'!M23+'IEPS ESTIMACIONES'!M23</f>
        <v>120024.99934943963</v>
      </c>
      <c r="N20" s="604">
        <f>'IEPS INCREMENTO'!N23+'IEPS ESTIMACIONES'!N23</f>
        <v>119628.67536085109</v>
      </c>
      <c r="O20" s="605">
        <f t="shared" si="0"/>
        <v>1531971.9</v>
      </c>
    </row>
    <row r="21" spans="1:15" x14ac:dyDescent="0.2">
      <c r="A21" s="602" t="s">
        <v>163</v>
      </c>
      <c r="B21" s="614"/>
      <c r="C21" s="604">
        <f>'IEPS INCREMENTO'!C24+'IEPS ESTIMACIONES'!C24</f>
        <v>61278.886647306528</v>
      </c>
      <c r="D21" s="604">
        <f>'IEPS INCREMENTO'!D24+'IEPS ESTIMACIONES'!D24</f>
        <v>178522.33638635071</v>
      </c>
      <c r="E21" s="604">
        <f>'IEPS INCREMENTO'!E24+'IEPS ESTIMACIONES'!E24</f>
        <v>45250.25532096246</v>
      </c>
      <c r="F21" s="604">
        <f>'IEPS INCREMENTO'!F24+'IEPS ESTIMACIONES'!F24</f>
        <v>30961.888721588242</v>
      </c>
      <c r="G21" s="604">
        <f>'IEPS INCREMENTO'!G24+'IEPS ESTIMACIONES'!G24</f>
        <v>48002.684708700071</v>
      </c>
      <c r="H21" s="604">
        <f>'IEPS INCREMENTO'!H24+'IEPS ESTIMACIONES'!H24</f>
        <v>47027.000493808955</v>
      </c>
      <c r="I21" s="604">
        <f>'IEPS INCREMENTO'!I24+'IEPS ESTIMACIONES'!I24</f>
        <v>52024.123380894787</v>
      </c>
      <c r="J21" s="604">
        <f>'IEPS INCREMENTO'!J24+'IEPS ESTIMACIONES'!J24</f>
        <v>59086.584743304556</v>
      </c>
      <c r="K21" s="604">
        <f>'IEPS INCREMENTO'!K24+'IEPS ESTIMACIONES'!K24</f>
        <v>66693.710071347698</v>
      </c>
      <c r="L21" s="604">
        <f>'IEPS INCREMENTO'!L24+'IEPS ESTIMACIONES'!L24</f>
        <v>63117.530050171641</v>
      </c>
      <c r="M21" s="604">
        <f>'IEPS INCREMENTO'!M24+'IEPS ESTIMACIONES'!M24</f>
        <v>58009.215328244361</v>
      </c>
      <c r="N21" s="604">
        <f>'IEPS INCREMENTO'!N24+'IEPS ESTIMACIONES'!N24</f>
        <v>57366.684147319698</v>
      </c>
      <c r="O21" s="605">
        <f t="shared" si="0"/>
        <v>767340.89999999967</v>
      </c>
    </row>
    <row r="22" spans="1:15" x14ac:dyDescent="0.2">
      <c r="A22" s="602" t="s">
        <v>164</v>
      </c>
      <c r="B22" s="614"/>
      <c r="C22" s="604">
        <f>'IEPS INCREMENTO'!C25+'IEPS ESTIMACIONES'!C25</f>
        <v>110435.24696039947</v>
      </c>
      <c r="D22" s="604">
        <f>'IEPS INCREMENTO'!D25+'IEPS ESTIMACIONES'!D25</f>
        <v>253517.96342640882</v>
      </c>
      <c r="E22" s="604">
        <f>'IEPS INCREMENTO'!E25+'IEPS ESTIMACIONES'!E25</f>
        <v>96807.930039707731</v>
      </c>
      <c r="F22" s="604">
        <f>'IEPS INCREMENTO'!F25+'IEPS ESTIMACIONES'!F25</f>
        <v>89528.16831854175</v>
      </c>
      <c r="G22" s="604">
        <f>'IEPS INCREMENTO'!G25+'IEPS ESTIMACIONES'!G25</f>
        <v>103801.31262283173</v>
      </c>
      <c r="H22" s="604">
        <f>'IEPS INCREMENTO'!H25+'IEPS ESTIMACIONES'!H25</f>
        <v>105361.99273220604</v>
      </c>
      <c r="I22" s="604">
        <f>'IEPS INCREMENTO'!I25+'IEPS ESTIMACIONES'!I25</f>
        <v>111305.4294269206</v>
      </c>
      <c r="J22" s="604">
        <f>'IEPS INCREMENTO'!J25+'IEPS ESTIMACIONES'!J25</f>
        <v>120587.94676535387</v>
      </c>
      <c r="K22" s="604">
        <f>'IEPS INCREMENTO'!K25+'IEPS ESTIMACIONES'!K25</f>
        <v>126193.12859784935</v>
      </c>
      <c r="L22" s="604">
        <f>'IEPS INCREMENTO'!L25+'IEPS ESTIMACIONES'!L25</f>
        <v>121272.50271290354</v>
      </c>
      <c r="M22" s="604">
        <f>'IEPS INCREMENTO'!M25+'IEPS ESTIMACIONES'!M25</f>
        <v>114843.08747704864</v>
      </c>
      <c r="N22" s="604">
        <f>'IEPS INCREMENTO'!N25+'IEPS ESTIMACIONES'!N25</f>
        <v>114426.19091982825</v>
      </c>
      <c r="O22" s="605">
        <f t="shared" si="0"/>
        <v>1468080.9</v>
      </c>
    </row>
    <row r="23" spans="1:15" ht="13.5" thickBot="1" x14ac:dyDescent="0.25">
      <c r="A23" s="602" t="s">
        <v>165</v>
      </c>
      <c r="B23" s="615"/>
      <c r="C23" s="604">
        <f>'IEPS INCREMENTO'!C26+'IEPS ESTIMACIONES'!C26</f>
        <v>122435.18197800744</v>
      </c>
      <c r="D23" s="604">
        <f>'IEPS INCREMENTO'!D26+'IEPS ESTIMACIONES'!D26</f>
        <v>271825.71943912894</v>
      </c>
      <c r="E23" s="604">
        <f>'IEPS INCREMENTO'!E26+'IEPS ESTIMACIONES'!E26</f>
        <v>109394.06827987202</v>
      </c>
      <c r="F23" s="604">
        <f>'IEPS INCREMENTO'!F26+'IEPS ESTIMACIONES'!F26</f>
        <v>103825.23069073923</v>
      </c>
      <c r="G23" s="604">
        <f>'IEPS INCREMENTO'!G26+'IEPS ESTIMACIONES'!G26</f>
        <v>117422.74237834034</v>
      </c>
      <c r="H23" s="604">
        <f>'IEPS INCREMENTO'!H26+'IEPS ESTIMACIONES'!H26</f>
        <v>119602.59377863829</v>
      </c>
      <c r="I23" s="604">
        <f>'IEPS INCREMENTO'!I26+'IEPS ESTIMACIONES'!I26</f>
        <v>125777.04237345044</v>
      </c>
      <c r="J23" s="604">
        <f>'IEPS INCREMENTO'!J26+'IEPS ESTIMACIONES'!J26</f>
        <v>135601.51455308945</v>
      </c>
      <c r="K23" s="604">
        <f>'IEPS INCREMENTO'!K26+'IEPS ESTIMACIONES'!K26</f>
        <v>140717.98664990714</v>
      </c>
      <c r="L23" s="604">
        <f>'IEPS INCREMENTO'!L26+'IEPS ESTIMACIONES'!L26</f>
        <v>135469.15780409987</v>
      </c>
      <c r="M23" s="604">
        <f>'IEPS INCREMENTO'!M26+'IEPS ESTIMACIONES'!M26</f>
        <v>128717.23861925675</v>
      </c>
      <c r="N23" s="604">
        <f>'IEPS INCREMENTO'!N26+'IEPS ESTIMACIONES'!N26</f>
        <v>128355.42345547004</v>
      </c>
      <c r="O23" s="605">
        <f t="shared" si="0"/>
        <v>1639143.9</v>
      </c>
    </row>
    <row r="24" spans="1:15" ht="13.5" thickBot="1" x14ac:dyDescent="0.25">
      <c r="A24" s="607" t="s">
        <v>288</v>
      </c>
      <c r="B24" s="608">
        <f>SUM(B4:B23)</f>
        <v>0</v>
      </c>
      <c r="C24" s="609">
        <f>SUM(C4:C23)</f>
        <v>2564365.6638262495</v>
      </c>
      <c r="D24" s="609">
        <f t="shared" ref="D24:O24" si="1">SUM(D4:D23)</f>
        <v>5612974.6877003619</v>
      </c>
      <c r="E24" s="609">
        <f t="shared" si="1"/>
        <v>2309193.541406252</v>
      </c>
      <c r="F24" s="609">
        <f t="shared" si="1"/>
        <v>2214307.624631146</v>
      </c>
      <c r="G24" s="609">
        <f t="shared" si="1"/>
        <v>2479745.7367765289</v>
      </c>
      <c r="H24" s="609">
        <f t="shared" si="1"/>
        <v>2529310.6808395819</v>
      </c>
      <c r="I24" s="609">
        <f t="shared" si="1"/>
        <v>2655026.2734596576</v>
      </c>
      <c r="J24" s="609">
        <f t="shared" si="1"/>
        <v>2856739.3781724935</v>
      </c>
      <c r="K24" s="609">
        <f t="shared" si="1"/>
        <v>2954358.3648252054</v>
      </c>
      <c r="L24" s="609">
        <f t="shared" si="1"/>
        <v>2846218.3858766612</v>
      </c>
      <c r="M24" s="609">
        <f t="shared" si="1"/>
        <v>2708071.5303823217</v>
      </c>
      <c r="N24" s="609">
        <f t="shared" si="1"/>
        <v>2701366.1321035386</v>
      </c>
      <c r="O24" s="609">
        <f t="shared" si="1"/>
        <v>34431677.999999985</v>
      </c>
    </row>
    <row r="25" spans="1:15" hidden="1" x14ac:dyDescent="0.2">
      <c r="A25" s="618" t="s">
        <v>344</v>
      </c>
      <c r="B25" s="618"/>
      <c r="C25" s="619">
        <f>'[3]PRESUPUSTO ESTATAL 2017'!B52</f>
        <v>1521250.4468291907</v>
      </c>
      <c r="D25" s="619">
        <f>'[3]PRESUPUSTO ESTATAL 2017'!C52</f>
        <v>1992155.4322061262</v>
      </c>
      <c r="E25" s="619">
        <f>'[3]PRESUPUSTO ESTATAL 2017'!D52</f>
        <v>1561223.5204092669</v>
      </c>
      <c r="F25" s="619">
        <f>'[3]PRESUPUSTO ESTATAL 2017'!E52</f>
        <v>1709133.4840227321</v>
      </c>
      <c r="G25" s="619">
        <f>'[3]PRESUPUSTO ESTATAL 2017'!F52</f>
        <v>1794276.5472658337</v>
      </c>
      <c r="H25" s="619">
        <f>'[3]PRESUPUSTO ESTATAL 2017'!G52</f>
        <v>1664193.9164477964</v>
      </c>
      <c r="I25" s="619">
        <f>'[3]PRESUPUSTO ESTATAL 2017'!H52</f>
        <v>1722567.8942233375</v>
      </c>
      <c r="J25" s="619">
        <f>'[3]PRESUPUSTO ESTATAL 2017'!I52</f>
        <v>1774773.0179705636</v>
      </c>
      <c r="K25" s="619">
        <f>'[3]PRESUPUSTO ESTATAL 2017'!J52</f>
        <v>1814273.0193366187</v>
      </c>
      <c r="L25" s="619">
        <f>'[3]PRESUPUSTO ESTATAL 2017'!K52</f>
        <v>1772942.0603667807</v>
      </c>
      <c r="M25" s="619">
        <f>'[3]PRESUPUSTO ESTATAL 2017'!L52</f>
        <v>1696337.0334839264</v>
      </c>
      <c r="N25" s="619">
        <f>'[3]PRESUPUSTO ESTATAL 2017'!M52</f>
        <v>1676873.6274378267</v>
      </c>
      <c r="O25" s="619">
        <f>SUM(C25:N25)</f>
        <v>20700000</v>
      </c>
    </row>
    <row r="26" spans="1:15" hidden="1" x14ac:dyDescent="0.2">
      <c r="A26" s="620" t="s">
        <v>345</v>
      </c>
      <c r="B26" s="620"/>
      <c r="C26" s="621">
        <f>C25-C24</f>
        <v>-1043115.2169970588</v>
      </c>
      <c r="D26" s="621">
        <f t="shared" ref="D26:O26" si="2">D25-D24</f>
        <v>-3620819.255494236</v>
      </c>
      <c r="E26" s="621">
        <f t="shared" si="2"/>
        <v>-747970.02099698503</v>
      </c>
      <c r="F26" s="621">
        <f t="shared" si="2"/>
        <v>-505174.14060841384</v>
      </c>
      <c r="G26" s="621">
        <f t="shared" si="2"/>
        <v>-685469.18951069517</v>
      </c>
      <c r="H26" s="621">
        <f t="shared" si="2"/>
        <v>-865116.76439178549</v>
      </c>
      <c r="I26" s="621">
        <f t="shared" si="2"/>
        <v>-932458.37923632003</v>
      </c>
      <c r="J26" s="621">
        <f t="shared" si="2"/>
        <v>-1081966.3602019299</v>
      </c>
      <c r="K26" s="621">
        <f t="shared" si="2"/>
        <v>-1140085.3454885867</v>
      </c>
      <c r="L26" s="621">
        <f t="shared" si="2"/>
        <v>-1073276.3255098804</v>
      </c>
      <c r="M26" s="621">
        <f t="shared" si="2"/>
        <v>-1011734.4968983952</v>
      </c>
      <c r="N26" s="621">
        <f t="shared" si="2"/>
        <v>-1024492.5046657119</v>
      </c>
      <c r="O26" s="621">
        <f t="shared" si="2"/>
        <v>-13731677.999999985</v>
      </c>
    </row>
    <row r="27" spans="1:15" x14ac:dyDescent="0.2">
      <c r="A27" s="611" t="s">
        <v>289</v>
      </c>
    </row>
    <row r="28" spans="1:15" x14ac:dyDescent="0.2">
      <c r="D28" s="606"/>
    </row>
    <row r="31" spans="1:15" x14ac:dyDescent="0.2">
      <c r="C31" s="606"/>
      <c r="D31" s="606"/>
      <c r="E31" s="606"/>
      <c r="F31" s="606"/>
      <c r="G31" s="606"/>
      <c r="H31" s="606"/>
      <c r="I31" s="606"/>
      <c r="J31" s="606"/>
      <c r="K31" s="606"/>
      <c r="L31" s="606"/>
      <c r="M31" s="606"/>
      <c r="N31" s="606"/>
      <c r="O31" s="606"/>
    </row>
    <row r="35" spans="11:11" x14ac:dyDescent="0.2">
      <c r="K35" s="606"/>
    </row>
  </sheetData>
  <mergeCells count="1">
    <mergeCell ref="A1:O1"/>
  </mergeCells>
  <printOptions horizontalCentered="1"/>
  <pageMargins left="0.74803149606299213" right="0.74803149606299213"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25"/>
  <sheetViews>
    <sheetView workbookViewId="0">
      <selection sqref="A1:O1"/>
    </sheetView>
  </sheetViews>
  <sheetFormatPr baseColWidth="10" defaultRowHeight="12.75" x14ac:dyDescent="0.2"/>
  <cols>
    <col min="1" max="1" width="16.85546875" style="597" customWidth="1"/>
    <col min="2" max="2" width="9.28515625" style="597" hidden="1" customWidth="1"/>
    <col min="3" max="10" width="9.7109375" style="597" customWidth="1"/>
    <col min="11" max="11" width="10.140625" style="597" customWidth="1"/>
    <col min="12" max="15" width="9.7109375" style="597" customWidth="1"/>
    <col min="16" max="16" width="11.7109375" style="597" bestFit="1" customWidth="1"/>
    <col min="17" max="16384" width="11.42578125" style="597"/>
  </cols>
  <sheetData>
    <row r="1" spans="1:16" x14ac:dyDescent="0.2">
      <c r="A1" s="1255" t="s">
        <v>484</v>
      </c>
      <c r="B1" s="1255"/>
      <c r="C1" s="1255"/>
      <c r="D1" s="1255"/>
      <c r="E1" s="1255"/>
      <c r="F1" s="1255"/>
      <c r="G1" s="1255"/>
      <c r="H1" s="1255"/>
      <c r="I1" s="1255"/>
      <c r="J1" s="1255"/>
      <c r="K1" s="1255"/>
      <c r="L1" s="1255"/>
      <c r="M1" s="1255"/>
      <c r="N1" s="1255"/>
      <c r="O1" s="1255"/>
    </row>
    <row r="2" spans="1:16" ht="13.5" thickBot="1" x14ac:dyDescent="0.25"/>
    <row r="3" spans="1:16" ht="34.5" thickBot="1" x14ac:dyDescent="0.25">
      <c r="A3" s="897" t="s">
        <v>343</v>
      </c>
      <c r="B3" s="901" t="s">
        <v>281</v>
      </c>
      <c r="C3" s="897" t="s">
        <v>1</v>
      </c>
      <c r="D3" s="899" t="s">
        <v>2</v>
      </c>
      <c r="E3" s="897" t="s">
        <v>3</v>
      </c>
      <c r="F3" s="899" t="s">
        <v>4</v>
      </c>
      <c r="G3" s="897" t="s">
        <v>5</v>
      </c>
      <c r="H3" s="897" t="s">
        <v>6</v>
      </c>
      <c r="I3" s="897" t="s">
        <v>7</v>
      </c>
      <c r="J3" s="899" t="s">
        <v>8</v>
      </c>
      <c r="K3" s="897" t="s">
        <v>9</v>
      </c>
      <c r="L3" s="899" t="s">
        <v>10</v>
      </c>
      <c r="M3" s="897" t="s">
        <v>11</v>
      </c>
      <c r="N3" s="897" t="s">
        <v>12</v>
      </c>
      <c r="O3" s="900" t="s">
        <v>168</v>
      </c>
    </row>
    <row r="4" spans="1:16" x14ac:dyDescent="0.2">
      <c r="A4" s="602" t="s">
        <v>282</v>
      </c>
      <c r="B4" s="613"/>
      <c r="C4" s="604">
        <f>IEPSGASINCREMENTO!C7+'IEPSGAS ESTIMACIONES'!C7</f>
        <v>179976.74016467348</v>
      </c>
      <c r="D4" s="604">
        <f>IEPSGASINCREMENTO!D7+'IEPSGAS ESTIMACIONES'!D7</f>
        <v>171169.97701973986</v>
      </c>
      <c r="E4" s="604">
        <f>IEPSGASINCREMENTO!E7+'IEPSGAS ESTIMACIONES'!E7</f>
        <v>166346.66734710248</v>
      </c>
      <c r="F4" s="604">
        <f>IEPSGASINCREMENTO!F7+'IEPSGAS ESTIMACIONES'!F7</f>
        <v>154726.18112428172</v>
      </c>
      <c r="G4" s="604">
        <f>IEPSGASINCREMENTO!G7+'IEPSGAS ESTIMACIONES'!G7</f>
        <v>176997.60701715224</v>
      </c>
      <c r="H4" s="604">
        <f>IEPSGASINCREMENTO!H7+'IEPSGAS ESTIMACIONES'!H7</f>
        <v>170931.66413552541</v>
      </c>
      <c r="I4" s="604">
        <f>IEPSGASINCREMENTO!I7+'IEPSGAS ESTIMACIONES'!I7</f>
        <v>177153.63184683959</v>
      </c>
      <c r="J4" s="604">
        <f>IEPSGASINCREMENTO!J7+'IEPSGAS ESTIMACIONES'!J7</f>
        <v>171126.8323317375</v>
      </c>
      <c r="K4" s="604">
        <f>IEPSGASINCREMENTO!K7+'IEPSGAS ESTIMACIONES'!K7</f>
        <v>172996.58910085488</v>
      </c>
      <c r="L4" s="604">
        <f>IEPSGASINCREMENTO!L7+'IEPSGAS ESTIMACIONES'!L7</f>
        <v>173808.43224013355</v>
      </c>
      <c r="M4" s="604">
        <f>IEPSGASINCREMENTO!M7+'IEPSGAS ESTIMACIONES'!M7</f>
        <v>166793.88962883007</v>
      </c>
      <c r="N4" s="604">
        <f>IEPSGASINCREMENTO!N7+'IEPSGAS ESTIMACIONES'!N7</f>
        <v>166433.51505760796</v>
      </c>
      <c r="O4" s="605">
        <f>SUM(C4:N4)</f>
        <v>2048461.727014479</v>
      </c>
      <c r="P4" s="606"/>
    </row>
    <row r="5" spans="1:16" x14ac:dyDescent="0.2">
      <c r="A5" s="602" t="s">
        <v>147</v>
      </c>
      <c r="B5" s="614"/>
      <c r="C5" s="604">
        <f>IEPSGASINCREMENTO!C8+'IEPSGAS ESTIMACIONES'!C8</f>
        <v>73842.662685860501</v>
      </c>
      <c r="D5" s="604">
        <f>IEPSGASINCREMENTO!D8+'IEPSGAS ESTIMACIONES'!D8</f>
        <v>70198.144254139697</v>
      </c>
      <c r="E5" s="604">
        <f>IEPSGASINCREMENTO!E8+'IEPSGAS ESTIMACIONES'!E8</f>
        <v>68126.45304890009</v>
      </c>
      <c r="F5" s="604">
        <f>IEPSGASINCREMENTO!F8+'IEPSGAS ESTIMACIONES'!F8</f>
        <v>63348.379000391906</v>
      </c>
      <c r="G5" s="604">
        <f>IEPSGASINCREMENTO!G8+'IEPSGAS ESTIMACIONES'!G8</f>
        <v>72514.378757689119</v>
      </c>
      <c r="H5" s="604">
        <f>IEPSGASINCREMENTO!H8+'IEPSGAS ESTIMACIONES'!H8</f>
        <v>70032.518111866622</v>
      </c>
      <c r="I5" s="604">
        <f>IEPSGASINCREMENTO!I8+'IEPSGAS ESTIMACIONES'!I8</f>
        <v>72581.540354451776</v>
      </c>
      <c r="J5" s="604">
        <f>IEPSGASINCREMENTO!J8+'IEPSGAS ESTIMACIONES'!J8</f>
        <v>70094.720447712782</v>
      </c>
      <c r="K5" s="604">
        <f>IEPSGASINCREMENTO!K8+'IEPSGAS ESTIMACIONES'!K8</f>
        <v>70897.855412626406</v>
      </c>
      <c r="L5" s="604">
        <f>IEPSGASINCREMENTO!L8+'IEPSGAS ESTIMACIONES'!L8</f>
        <v>71200.559541853538</v>
      </c>
      <c r="M5" s="604">
        <f>IEPSGASINCREMENTO!M8+'IEPSGAS ESTIMACIONES'!M8</f>
        <v>68324.767460800402</v>
      </c>
      <c r="N5" s="604">
        <f>IEPSGASINCREMENTO!N8+'IEPSGAS ESTIMACIONES'!N8</f>
        <v>68343.001314469802</v>
      </c>
      <c r="O5" s="605">
        <f t="shared" ref="O5:O23" si="0">SUM(C5:N5)</f>
        <v>839504.98039076268</v>
      </c>
      <c r="P5" s="606"/>
    </row>
    <row r="6" spans="1:16" x14ac:dyDescent="0.2">
      <c r="A6" s="602" t="s">
        <v>148</v>
      </c>
      <c r="B6" s="614"/>
      <c r="C6" s="604">
        <f>IEPSGASINCREMENTO!C9+'IEPSGAS ESTIMACIONES'!C9</f>
        <v>54547.61949264443</v>
      </c>
      <c r="D6" s="604">
        <f>IEPSGASINCREMENTO!D9+'IEPSGAS ESTIMACIONES'!D9</f>
        <v>51811.406044525327</v>
      </c>
      <c r="E6" s="604">
        <f>IEPSGASINCREMENTO!E9+'IEPSGAS ESTIMACIONES'!E9</f>
        <v>50150.213096723208</v>
      </c>
      <c r="F6" s="604">
        <f>IEPSGASINCREMENTO!F9+'IEPSGAS ESTIMACIONES'!F9</f>
        <v>46606.109238283243</v>
      </c>
      <c r="G6" s="604">
        <f>IEPSGASINCREMENTO!G9+'IEPSGAS ESTIMACIONES'!G9</f>
        <v>53416.902653875703</v>
      </c>
      <c r="H6" s="604">
        <f>IEPSGASINCREMENTO!H9+'IEPSGAS ESTIMACIONES'!H9</f>
        <v>51593.335142442556</v>
      </c>
      <c r="I6" s="604">
        <f>IEPSGASINCREMENTO!I9+'IEPSGAS ESTIMACIONES'!I9</f>
        <v>53470.953656350393</v>
      </c>
      <c r="J6" s="604">
        <f>IEPSGASINCREMENTO!J9+'IEPSGAS ESTIMACIONES'!J9</f>
        <v>51614.068027367743</v>
      </c>
      <c r="K6" s="604">
        <f>IEPSGASINCREMENTO!K9+'IEPSGAS ESTIMACIONES'!K9</f>
        <v>52258.123323273896</v>
      </c>
      <c r="L6" s="604">
        <f>IEPSGASINCREMENTO!L9+'IEPSGAS ESTIMACIONES'!L9</f>
        <v>52438.860248098965</v>
      </c>
      <c r="M6" s="604">
        <f>IEPSGASINCREMENTO!M9+'IEPSGAS ESTIMACIONES'!M9</f>
        <v>50317.62154698775</v>
      </c>
      <c r="N6" s="604">
        <f>IEPSGASINCREMENTO!N9+'IEPSGAS ESTIMACIONES'!N9</f>
        <v>50565.417751790003</v>
      </c>
      <c r="O6" s="605">
        <f t="shared" si="0"/>
        <v>618790.63022236328</v>
      </c>
      <c r="P6" s="606"/>
    </row>
    <row r="7" spans="1:16" x14ac:dyDescent="0.2">
      <c r="A7" s="602" t="s">
        <v>283</v>
      </c>
      <c r="B7" s="614"/>
      <c r="C7" s="604">
        <f>IEPSGASINCREMENTO!C10+'IEPSGAS ESTIMACIONES'!C10</f>
        <v>622352.25800761196</v>
      </c>
      <c r="D7" s="604">
        <f>IEPSGASINCREMENTO!D10+'IEPSGAS ESTIMACIONES'!D10</f>
        <v>576211.40358637669</v>
      </c>
      <c r="E7" s="604">
        <f>IEPSGASINCREMENTO!E10+'IEPSGAS ESTIMACIONES'!E10</f>
        <v>512892.06047766999</v>
      </c>
      <c r="F7" s="604">
        <f>IEPSGASINCREMENTO!F10+'IEPSGAS ESTIMACIONES'!F10</f>
        <v>467526.38484774844</v>
      </c>
      <c r="G7" s="604">
        <f>IEPSGASINCREMENTO!G10+'IEPSGAS ESTIMACIONES'!G10</f>
        <v>558751.05846610456</v>
      </c>
      <c r="H7" s="604">
        <f>IEPSGASINCREMENTO!H10+'IEPSGAS ESTIMACIONES'!H10</f>
        <v>541263.31142551848</v>
      </c>
      <c r="I7" s="604">
        <f>IEPSGASINCREMENTO!I10+'IEPSGAS ESTIMACIONES'!I10</f>
        <v>560872.92570773792</v>
      </c>
      <c r="J7" s="604">
        <f>IEPSGASINCREMENTO!J10+'IEPSGAS ESTIMACIONES'!J10</f>
        <v>532948.98811255547</v>
      </c>
      <c r="K7" s="604">
        <f>IEPSGASINCREMENTO!K10+'IEPSGAS ESTIMACIONES'!K10</f>
        <v>557516.63800965878</v>
      </c>
      <c r="L7" s="604">
        <f>IEPSGASINCREMENTO!L10+'IEPSGAS ESTIMACIONES'!L10</f>
        <v>545041.03498162492</v>
      </c>
      <c r="M7" s="604">
        <f>IEPSGASINCREMENTO!M10+'IEPSGAS ESTIMACIONES'!M10</f>
        <v>521893.93895585614</v>
      </c>
      <c r="N7" s="604">
        <f>IEPSGASINCREMENTO!N10+'IEPSGAS ESTIMACIONES'!N10</f>
        <v>604182.47910344158</v>
      </c>
      <c r="O7" s="605">
        <f t="shared" si="0"/>
        <v>6601452.4816819057</v>
      </c>
      <c r="P7" s="606"/>
    </row>
    <row r="8" spans="1:16" x14ac:dyDescent="0.2">
      <c r="A8" s="602" t="s">
        <v>150</v>
      </c>
      <c r="B8" s="614"/>
      <c r="C8" s="604">
        <f>IEPSGASINCREMENTO!C11+'IEPSGAS ESTIMACIONES'!C11</f>
        <v>345738.48069603904</v>
      </c>
      <c r="D8" s="604">
        <f>IEPSGASINCREMENTO!D11+'IEPSGAS ESTIMACIONES'!D11</f>
        <v>327245.35820248851</v>
      </c>
      <c r="E8" s="604">
        <f>IEPSGASINCREMENTO!E11+'IEPSGAS ESTIMACIONES'!E11</f>
        <v>313296.51545896585</v>
      </c>
      <c r="F8" s="604">
        <f>IEPSGASINCREMENTO!F11+'IEPSGAS ESTIMACIONES'!F11</f>
        <v>290452.98130987736</v>
      </c>
      <c r="G8" s="604">
        <f>IEPSGASINCREMENTO!G11+'IEPSGAS ESTIMACIONES'!G11</f>
        <v>334663.70832284284</v>
      </c>
      <c r="H8" s="604">
        <f>IEPSGASINCREMENTO!H11+'IEPSGAS ESTIMACIONES'!H11</f>
        <v>323361.1595544974</v>
      </c>
      <c r="I8" s="604">
        <f>IEPSGASINCREMENTO!I11+'IEPSGAS ESTIMACIONES'!I11</f>
        <v>335122.3176315219</v>
      </c>
      <c r="J8" s="604">
        <f>IEPSGASINCREMENTO!J11+'IEPSGAS ESTIMACIONES'!J11</f>
        <v>322833.47402994492</v>
      </c>
      <c r="K8" s="604">
        <f>IEPSGASINCREMENTO!K11+'IEPSGAS ESTIMACIONES'!K11</f>
        <v>328242.94377610553</v>
      </c>
      <c r="L8" s="604">
        <f>IEPSGASINCREMENTO!L11+'IEPSGAS ESTIMACIONES'!L11</f>
        <v>328267.94901971315</v>
      </c>
      <c r="M8" s="604">
        <f>IEPSGASINCREMENTO!M11+'IEPSGAS ESTIMACIONES'!M11</f>
        <v>314904.23488523188</v>
      </c>
      <c r="N8" s="604">
        <f>IEPSGASINCREMENTO!N11+'IEPSGAS ESTIMACIONES'!N11</f>
        <v>322599.67558701895</v>
      </c>
      <c r="O8" s="605">
        <f t="shared" si="0"/>
        <v>3886728.7984742476</v>
      </c>
      <c r="P8" s="606"/>
    </row>
    <row r="9" spans="1:16" x14ac:dyDescent="0.2">
      <c r="A9" s="602" t="s">
        <v>284</v>
      </c>
      <c r="B9" s="614"/>
      <c r="C9" s="604">
        <f>IEPSGASINCREMENTO!C12+'IEPSGAS ESTIMACIONES'!C12</f>
        <v>186996.53941398655</v>
      </c>
      <c r="D9" s="604">
        <f>IEPSGASINCREMENTO!D12+'IEPSGAS ESTIMACIONES'!D12</f>
        <v>175484.36810080806</v>
      </c>
      <c r="E9" s="604">
        <f>IEPSGASINCREMENTO!E12+'IEPSGAS ESTIMACIONES'!E12</f>
        <v>163450.69856292775</v>
      </c>
      <c r="F9" s="604">
        <f>IEPSGASINCREMENTO!F12+'IEPSGAS ESTIMACIONES'!F12</f>
        <v>150596.68596147801</v>
      </c>
      <c r="G9" s="604">
        <f>IEPSGASINCREMENTO!G12+'IEPSGAS ESTIMACIONES'!G12</f>
        <v>175876.40120498161</v>
      </c>
      <c r="H9" s="604">
        <f>IEPSGASINCREMENTO!H12+'IEPSGAS ESTIMACIONES'!H12</f>
        <v>170099.02407709725</v>
      </c>
      <c r="I9" s="604">
        <f>IEPSGASINCREMENTO!I12+'IEPSGAS ESTIMACIONES'!I12</f>
        <v>176276.74980400011</v>
      </c>
      <c r="J9" s="604">
        <f>IEPSGASINCREMENTO!J12+'IEPSGAS ESTIMACIONES'!J12</f>
        <v>168948.3832246805</v>
      </c>
      <c r="K9" s="604">
        <f>IEPSGASINCREMENTO!K12+'IEPSGAS ESTIMACIONES'!K12</f>
        <v>173616.53388685957</v>
      </c>
      <c r="L9" s="604">
        <f>IEPSGASINCREMENTO!L12+'IEPSGAS ESTIMACIONES'!L12</f>
        <v>172159.0342880995</v>
      </c>
      <c r="M9" s="604">
        <f>IEPSGASINCREMENTO!M12+'IEPSGAS ESTIMACIONES'!M12</f>
        <v>165037.85487335068</v>
      </c>
      <c r="N9" s="604">
        <f>IEPSGASINCREMENTO!N12+'IEPSGAS ESTIMACIONES'!N12</f>
        <v>177240.46799592016</v>
      </c>
      <c r="O9" s="605">
        <f t="shared" si="0"/>
        <v>2055782.7413941899</v>
      </c>
      <c r="P9" s="606"/>
    </row>
    <row r="10" spans="1:16" x14ac:dyDescent="0.2">
      <c r="A10" s="602" t="s">
        <v>152</v>
      </c>
      <c r="B10" s="614"/>
      <c r="C10" s="604">
        <f>IEPSGASINCREMENTO!C13+'IEPSGAS ESTIMACIONES'!C13</f>
        <v>56474.25267346215</v>
      </c>
      <c r="D10" s="604">
        <f>IEPSGASINCREMENTO!D13+'IEPSGAS ESTIMACIONES'!D13</f>
        <v>53565.057808882695</v>
      </c>
      <c r="E10" s="604">
        <f>IEPSGASINCREMENTO!E13+'IEPSGAS ESTIMACIONES'!E13</f>
        <v>51618.230073133047</v>
      </c>
      <c r="F10" s="604">
        <f>IEPSGASINCREMENTO!F13+'IEPSGAS ESTIMACIONES'!F13</f>
        <v>47923.728740501916</v>
      </c>
      <c r="G10" s="604">
        <f>IEPSGASINCREMENTO!G13+'IEPSGAS ESTIMACIONES'!G13</f>
        <v>55044.233970269925</v>
      </c>
      <c r="H10" s="604">
        <f>IEPSGASINCREMENTO!H13+'IEPSGAS ESTIMACIONES'!H13</f>
        <v>53173.231084892723</v>
      </c>
      <c r="I10" s="604">
        <f>IEPSGASINCREMENTO!I13+'IEPSGAS ESTIMACIONES'!I13</f>
        <v>55107.894010975841</v>
      </c>
      <c r="J10" s="604">
        <f>IEPSGASINCREMENTO!J13+'IEPSGAS ESTIMACIONES'!J13</f>
        <v>53150.953184200895</v>
      </c>
      <c r="K10" s="604">
        <f>IEPSGASINCREMENTO!K13+'IEPSGAS ESTIMACIONES'!K13</f>
        <v>53905.844708525809</v>
      </c>
      <c r="L10" s="604">
        <f>IEPSGASINCREMENTO!L13+'IEPSGAS ESTIMACIONES'!L13</f>
        <v>54018.595882279857</v>
      </c>
      <c r="M10" s="604">
        <f>IEPSGASINCREMENTO!M13+'IEPSGAS ESTIMACIONES'!M13</f>
        <v>51827.830732600392</v>
      </c>
      <c r="N10" s="604">
        <f>IEPSGASINCREMENTO!N13+'IEPSGAS ESTIMACIONES'!N13</f>
        <v>52490.873817991655</v>
      </c>
      <c r="O10" s="605">
        <f t="shared" si="0"/>
        <v>638300.7266877169</v>
      </c>
      <c r="P10" s="606"/>
    </row>
    <row r="11" spans="1:16" x14ac:dyDescent="0.2">
      <c r="A11" s="602" t="s">
        <v>153</v>
      </c>
      <c r="B11" s="614"/>
      <c r="C11" s="604">
        <f>IEPSGASINCREMENTO!C14+'IEPSGAS ESTIMACIONES'!C14</f>
        <v>136804.07476433204</v>
      </c>
      <c r="D11" s="604">
        <f>IEPSGASINCREMENTO!D14+'IEPSGAS ESTIMACIONES'!D14</f>
        <v>129843.94854060876</v>
      </c>
      <c r="E11" s="604">
        <f>IEPSGASINCREMENTO!E14+'IEPSGAS ESTIMACIONES'!E14</f>
        <v>125387.03378129666</v>
      </c>
      <c r="F11" s="604">
        <f>IEPSGASINCREMENTO!F14+'IEPSGAS ESTIMACIONES'!F14</f>
        <v>116466.20970285418</v>
      </c>
      <c r="G11" s="604">
        <f>IEPSGASINCREMENTO!G14+'IEPSGAS ESTIMACIONES'!G14</f>
        <v>133636.07947279292</v>
      </c>
      <c r="H11" s="604">
        <f>IEPSGASINCREMENTO!H14+'IEPSGAS ESTIMACIONES'!H14</f>
        <v>129084.35641548625</v>
      </c>
      <c r="I11" s="604">
        <f>IEPSGASINCREMENTO!I14+'IEPSGAS ESTIMACIONES'!I14</f>
        <v>133781.49987424066</v>
      </c>
      <c r="J11" s="604">
        <f>IEPSGASINCREMENTO!J14+'IEPSGAS ESTIMACIONES'!J14</f>
        <v>129080.32932527154</v>
      </c>
      <c r="K11" s="604">
        <f>IEPSGASINCREMENTO!K14+'IEPSGAS ESTIMACIONES'!K14</f>
        <v>130808.42421881823</v>
      </c>
      <c r="L11" s="604">
        <f>IEPSGASINCREMENTO!L14+'IEPSGAS ESTIMACIONES'!L14</f>
        <v>131166.45810496502</v>
      </c>
      <c r="M11" s="604">
        <f>IEPSGASINCREMENTO!M14+'IEPSGAS ESTIMACIONES'!M14</f>
        <v>125853.35532641635</v>
      </c>
      <c r="N11" s="604">
        <f>IEPSGASINCREMENTO!N14+'IEPSGAS ESTIMACIONES'!N14</f>
        <v>126995.4466665738</v>
      </c>
      <c r="O11" s="605">
        <f t="shared" si="0"/>
        <v>1548907.2161936567</v>
      </c>
      <c r="P11" s="606"/>
    </row>
    <row r="12" spans="1:16" x14ac:dyDescent="0.2">
      <c r="A12" s="602" t="s">
        <v>154</v>
      </c>
      <c r="B12" s="614"/>
      <c r="C12" s="604">
        <f>IEPSGASINCREMENTO!C15+'IEPSGAS ESTIMACIONES'!C15</f>
        <v>87327.919694627082</v>
      </c>
      <c r="D12" s="604">
        <f>IEPSGASINCREMENTO!D15+'IEPSGAS ESTIMACIONES'!D15</f>
        <v>82720.282291055715</v>
      </c>
      <c r="E12" s="604">
        <f>IEPSGASINCREMENTO!E15+'IEPSGAS ESTIMACIONES'!E15</f>
        <v>79385.600372314846</v>
      </c>
      <c r="F12" s="604">
        <f>IEPSGASINCREMENTO!F15+'IEPSGAS ESTIMACIONES'!F15</f>
        <v>73636.648023358663</v>
      </c>
      <c r="G12" s="604">
        <f>IEPSGASINCREMENTO!G15+'IEPSGAS ESTIMACIONES'!G15</f>
        <v>84746.103527447762</v>
      </c>
      <c r="H12" s="604">
        <f>IEPSGASINCREMENTO!H15+'IEPSGAS ESTIMACIONES'!H15</f>
        <v>81877.161216973604</v>
      </c>
      <c r="I12" s="604">
        <f>IEPSGASINCREMENTO!I15+'IEPSGAS ESTIMACIONES'!I15</f>
        <v>84855.543339202122</v>
      </c>
      <c r="J12" s="604">
        <f>IEPSGASINCREMENTO!J15+'IEPSGAS ESTIMACIONES'!J15</f>
        <v>81780.220049811644</v>
      </c>
      <c r="K12" s="604">
        <f>IEPSGASINCREMENTO!K15+'IEPSGAS ESTIMACIONES'!K15</f>
        <v>83073.376838282769</v>
      </c>
      <c r="L12" s="604">
        <f>IEPSGASINCREMENTO!L15+'IEPSGAS ESTIMACIONES'!L15</f>
        <v>83141.482048456572</v>
      </c>
      <c r="M12" s="604">
        <f>IEPSGASINCREMENTO!M15+'IEPSGAS ESTIMACIONES'!M15</f>
        <v>79761.541762412031</v>
      </c>
      <c r="N12" s="604">
        <f>IEPSGASINCREMENTO!N15+'IEPSGAS ESTIMACIONES'!N15</f>
        <v>81367.551826112569</v>
      </c>
      <c r="O12" s="605">
        <f t="shared" si="0"/>
        <v>983673.43099005544</v>
      </c>
      <c r="P12" s="606"/>
    </row>
    <row r="13" spans="1:16" x14ac:dyDescent="0.2">
      <c r="A13" s="602" t="s">
        <v>155</v>
      </c>
      <c r="B13" s="614"/>
      <c r="C13" s="604">
        <f>IEPSGASINCREMENTO!C16+'IEPSGAS ESTIMACIONES'!C16</f>
        <v>64089.009052937065</v>
      </c>
      <c r="D13" s="604">
        <f>IEPSGASINCREMENTO!D16+'IEPSGAS ESTIMACIONES'!D16</f>
        <v>60830.186816885747</v>
      </c>
      <c r="E13" s="604">
        <f>IEPSGASINCREMENTO!E16+'IEPSGAS ESTIMACIONES'!E16</f>
        <v>58747.620141882689</v>
      </c>
      <c r="F13" s="604">
        <f>IEPSGASINCREMENTO!F16+'IEPSGAS ESTIMACIONES'!F16</f>
        <v>54569.052840976838</v>
      </c>
      <c r="G13" s="604">
        <f>IEPSGASINCREMENTO!G16+'IEPSGAS ESTIMACIONES'!G16</f>
        <v>62611.034021487503</v>
      </c>
      <c r="H13" s="604">
        <f>IEPSGASINCREMENTO!H16+'IEPSGAS ESTIMACIONES'!H16</f>
        <v>60478.272726187104</v>
      </c>
      <c r="I13" s="604">
        <f>IEPSGASINCREMENTO!I16+'IEPSGAS ESTIMACIONES'!I16</f>
        <v>62678.977113121793</v>
      </c>
      <c r="J13" s="604">
        <f>IEPSGASINCREMENTO!J16+'IEPSGAS ESTIMACIONES'!J16</f>
        <v>60477.422540193053</v>
      </c>
      <c r="K13" s="604">
        <f>IEPSGASINCREMENTO!K16+'IEPSGAS ESTIMACIONES'!K16</f>
        <v>61284.901205433744</v>
      </c>
      <c r="L13" s="604">
        <f>IEPSGASINCREMENTO!L16+'IEPSGAS ESTIMACIONES'!L16</f>
        <v>61454.39241905987</v>
      </c>
      <c r="M13" s="604">
        <f>IEPSGASINCREMENTO!M16+'IEPSGAS ESTIMACIONES'!M16</f>
        <v>58965.219614581991</v>
      </c>
      <c r="N13" s="604">
        <f>IEPSGASINCREMENTO!N16+'IEPSGAS ESTIMACIONES'!N16</f>
        <v>59490.627513285981</v>
      </c>
      <c r="O13" s="605">
        <f t="shared" si="0"/>
        <v>725676.71600603336</v>
      </c>
      <c r="P13" s="606"/>
    </row>
    <row r="14" spans="1:16" x14ac:dyDescent="0.2">
      <c r="A14" s="602" t="s">
        <v>156</v>
      </c>
      <c r="B14" s="614"/>
      <c r="C14" s="604">
        <f>IEPSGASINCREMENTO!C17+'IEPSGAS ESTIMACIONES'!C17</f>
        <v>165212.45360170671</v>
      </c>
      <c r="D14" s="604">
        <f>IEPSGASINCREMENTO!D17+'IEPSGAS ESTIMACIONES'!D17</f>
        <v>157290.84125203994</v>
      </c>
      <c r="E14" s="604">
        <f>IEPSGASINCREMENTO!E17+'IEPSGAS ESTIMACIONES'!E17</f>
        <v>153346.91452055488</v>
      </c>
      <c r="F14" s="604">
        <f>IEPSGASINCREMENTO!F17+'IEPSGAS ESTIMACIONES'!F17</f>
        <v>142733.45547652175</v>
      </c>
      <c r="G14" s="604">
        <f>IEPSGASINCREMENTO!G17+'IEPSGAS ESTIMACIONES'!G17</f>
        <v>163030.47687203577</v>
      </c>
      <c r="H14" s="604">
        <f>IEPSGASINCREMENTO!H17+'IEPSGAS ESTIMACIONES'!H17</f>
        <v>157425.97588865241</v>
      </c>
      <c r="I14" s="604">
        <f>IEPSGASINCREMENTO!I17+'IEPSGAS ESTIMACIONES'!I17</f>
        <v>163157.29196711301</v>
      </c>
      <c r="J14" s="604">
        <f>IEPSGASINCREMENTO!J17+'IEPSGAS ESTIMACIONES'!J17</f>
        <v>157698.35998185351</v>
      </c>
      <c r="K14" s="604">
        <f>IEPSGASINCREMENTO!K17+'IEPSGAS ESTIMACIONES'!K17</f>
        <v>159226.99672694385</v>
      </c>
      <c r="L14" s="604">
        <f>IEPSGASINCREMENTO!L17+'IEPSGAS ESTIMACIONES'!L17</f>
        <v>160130.73886802557</v>
      </c>
      <c r="M14" s="604">
        <f>IEPSGASINCREMENTO!M17+'IEPSGAS ESTIMACIONES'!M17</f>
        <v>153680.12975754426</v>
      </c>
      <c r="N14" s="604">
        <f>IEPSGASINCREMENTO!N17+'IEPSGAS ESTIMACIONES'!N17</f>
        <v>152482.98605606754</v>
      </c>
      <c r="O14" s="605">
        <f t="shared" si="0"/>
        <v>1885416.6209690592</v>
      </c>
      <c r="P14" s="606"/>
    </row>
    <row r="15" spans="1:16" x14ac:dyDescent="0.2">
      <c r="A15" s="602" t="s">
        <v>157</v>
      </c>
      <c r="B15" s="614"/>
      <c r="C15" s="604">
        <f>IEPSGASINCREMENTO!C18+'IEPSGAS ESTIMACIONES'!C18</f>
        <v>111952.55984828505</v>
      </c>
      <c r="D15" s="604">
        <f>IEPSGASINCREMENTO!D18+'IEPSGAS ESTIMACIONES'!D18</f>
        <v>106224.98812426097</v>
      </c>
      <c r="E15" s="604">
        <f>IEPSGASINCREMENTO!E18+'IEPSGAS ESTIMACIONES'!E18</f>
        <v>102483.14309846901</v>
      </c>
      <c r="F15" s="604">
        <f>IEPSGASINCREMENTO!F18+'IEPSGAS ESTIMACIONES'!F18</f>
        <v>95172.348014759467</v>
      </c>
      <c r="G15" s="604">
        <f>IEPSGASINCREMENTO!G18+'IEPSGAS ESTIMACIONES'!G18</f>
        <v>109251.99119246853</v>
      </c>
      <c r="H15" s="604">
        <f>IEPSGASINCREMENTO!H18+'IEPSGAS ESTIMACIONES'!H18</f>
        <v>105534.1956801574</v>
      </c>
      <c r="I15" s="604">
        <f>IEPSGASINCREMENTO!I18+'IEPSGAS ESTIMACIONES'!I18</f>
        <v>109374.20303403286</v>
      </c>
      <c r="J15" s="604">
        <f>IEPSGASINCREMENTO!J18+'IEPSGAS ESTIMACIONES'!J18</f>
        <v>105512.67461886106</v>
      </c>
      <c r="K15" s="604">
        <f>IEPSGASINCREMENTO!K18+'IEPSGAS ESTIMACIONES'!K18</f>
        <v>106963.5495839022</v>
      </c>
      <c r="L15" s="604">
        <f>IEPSGASINCREMENTO!L18+'IEPSGAS ESTIMACIONES'!L18</f>
        <v>107225.55788664639</v>
      </c>
      <c r="M15" s="604">
        <f>IEPSGASINCREMENTO!M18+'IEPSGAS ESTIMACIONES'!M18</f>
        <v>102879.86948911866</v>
      </c>
      <c r="N15" s="604">
        <f>IEPSGASINCREMENTO!N18+'IEPSGAS ESTIMACIONES'!N18</f>
        <v>103983.85686298995</v>
      </c>
      <c r="O15" s="605">
        <f t="shared" si="0"/>
        <v>1266558.9374339515</v>
      </c>
      <c r="P15" s="606"/>
    </row>
    <row r="16" spans="1:16" x14ac:dyDescent="0.2">
      <c r="A16" s="602" t="s">
        <v>158</v>
      </c>
      <c r="B16" s="614"/>
      <c r="C16" s="604">
        <f>IEPSGASINCREMENTO!C19+'IEPSGAS ESTIMACIONES'!C19</f>
        <v>197122.15352382159</v>
      </c>
      <c r="D16" s="604">
        <f>IEPSGASINCREMENTO!D19+'IEPSGAS ESTIMACIONES'!D19</f>
        <v>187279.51420516305</v>
      </c>
      <c r="E16" s="604">
        <f>IEPSGASINCREMENTO!E19+'IEPSGAS ESTIMACIONES'!E19</f>
        <v>181411.29734957597</v>
      </c>
      <c r="F16" s="604">
        <f>IEPSGASINCREMENTO!F19+'IEPSGAS ESTIMACIONES'!F19</f>
        <v>168618.74098185694</v>
      </c>
      <c r="G16" s="604">
        <f>IEPSGASINCREMENTO!G19+'IEPSGAS ESTIMACIONES'!G19</f>
        <v>193190.21709308543</v>
      </c>
      <c r="H16" s="604">
        <f>IEPSGASINCREMENTO!H19+'IEPSGAS ESTIMACIONES'!H19</f>
        <v>186590.18523111826</v>
      </c>
      <c r="I16" s="604">
        <f>IEPSGASINCREMENTO!I19+'IEPSGAS ESTIMACIONES'!I19</f>
        <v>193380.96656905959</v>
      </c>
      <c r="J16" s="604">
        <f>IEPSGASINCREMENTO!J19+'IEPSGAS ESTIMACIONES'!J19</f>
        <v>186691.11650986268</v>
      </c>
      <c r="K16" s="604">
        <f>IEPSGASINCREMENTO!K19+'IEPSGAS ESTIMACIONES'!K19</f>
        <v>188966.20655224062</v>
      </c>
      <c r="L16" s="604">
        <f>IEPSGASINCREMENTO!L19+'IEPSGAS ESTIMACIONES'!L19</f>
        <v>189663.56343053596</v>
      </c>
      <c r="M16" s="604">
        <f>IEPSGASINCREMENTO!M19+'IEPSGAS ESTIMACIONES'!M19</f>
        <v>181994.70181413242</v>
      </c>
      <c r="N16" s="604">
        <f>IEPSGASINCREMENTO!N19+'IEPSGAS ESTIMACIONES'!N19</f>
        <v>182648.49610345851</v>
      </c>
      <c r="O16" s="605">
        <f t="shared" si="0"/>
        <v>2237557.159363911</v>
      </c>
      <c r="P16" s="606"/>
    </row>
    <row r="17" spans="1:17" x14ac:dyDescent="0.2">
      <c r="A17" s="602" t="s">
        <v>285</v>
      </c>
      <c r="B17" s="614"/>
      <c r="C17" s="604">
        <f>IEPSGASINCREMENTO!C20+'IEPSGAS ESTIMACIONES'!C20</f>
        <v>37044.071647600227</v>
      </c>
      <c r="D17" s="604">
        <f>IEPSGASINCREMENTO!D20+'IEPSGAS ESTIMACIONES'!D20</f>
        <v>35226.167343575857</v>
      </c>
      <c r="E17" s="604">
        <f>IEPSGASINCREMENTO!E20+'IEPSGAS ESTIMACIONES'!E20</f>
        <v>34217.836613038613</v>
      </c>
      <c r="F17" s="604">
        <f>IEPSGASINCREMENTO!F20+'IEPSGAS ESTIMACIONES'!F20</f>
        <v>31824.297509265183</v>
      </c>
      <c r="G17" s="604">
        <f>IEPSGASINCREMENTO!G20+'IEPSGAS ESTIMACIONES'!G20</f>
        <v>36413.100219326807</v>
      </c>
      <c r="H17" s="604">
        <f>IEPSGASINCREMENTO!H20+'IEPSGAS ESTIMACIONES'!H20</f>
        <v>35165.729339113313</v>
      </c>
      <c r="I17" s="604">
        <f>IEPSGASINCREMENTO!I20+'IEPSGAS ESTIMACIONES'!I20</f>
        <v>36445.742349215157</v>
      </c>
      <c r="J17" s="604">
        <f>IEPSGASINCREMENTO!J20+'IEPSGAS ESTIMACIONES'!J20</f>
        <v>35202.900630698976</v>
      </c>
      <c r="K17" s="604">
        <f>IEPSGASINCREMENTO!K20+'IEPSGAS ESTIMACIONES'!K20</f>
        <v>35593.787506868102</v>
      </c>
      <c r="L17" s="604">
        <f>IEPSGASINCREMENTO!L20+'IEPSGAS ESTIMACIONES'!L20</f>
        <v>35755.787010420368</v>
      </c>
      <c r="M17" s="604">
        <f>IEPSGASINCREMENTO!M20+'IEPSGAS ESTIMACIONES'!M20</f>
        <v>34312.374810769412</v>
      </c>
      <c r="N17" s="604">
        <f>IEPSGASINCREMENTO!N20+'IEPSGAS ESTIMACIONES'!N20</f>
        <v>34266.074534967287</v>
      </c>
      <c r="O17" s="605">
        <f t="shared" si="0"/>
        <v>421467.86951485934</v>
      </c>
      <c r="P17" s="606"/>
    </row>
    <row r="18" spans="1:17" x14ac:dyDescent="0.2">
      <c r="A18" s="602" t="s">
        <v>286</v>
      </c>
      <c r="B18" s="614"/>
      <c r="C18" s="604">
        <f>IEPSGASINCREMENTO!C21+'IEPSGAS ESTIMACIONES'!C21</f>
        <v>115597.94904680153</v>
      </c>
      <c r="D18" s="604">
        <f>IEPSGASINCREMENTO!D21+'IEPSGAS ESTIMACIONES'!D21</f>
        <v>109675.78102423105</v>
      </c>
      <c r="E18" s="604">
        <f>IEPSGASINCREMENTO!E21+'IEPSGAS ESTIMACIONES'!E21</f>
        <v>105788.02515227019</v>
      </c>
      <c r="F18" s="604">
        <f>IEPSGASINCREMENTO!F21+'IEPSGAS ESTIMACIONES'!F21</f>
        <v>98236.502141468693</v>
      </c>
      <c r="G18" s="604">
        <f>IEPSGASINCREMENTO!G21+'IEPSGAS ESTIMACIONES'!G21</f>
        <v>112781.93909061448</v>
      </c>
      <c r="H18" s="604">
        <f>IEPSGASINCREMENTO!H21+'IEPSGAS ESTIMACIONES'!H21</f>
        <v>108944.8850844757</v>
      </c>
      <c r="I18" s="604">
        <f>IEPSGASINCREMENTO!I21+'IEPSGAS ESTIMACIONES'!I21</f>
        <v>112908.94696238407</v>
      </c>
      <c r="J18" s="604">
        <f>IEPSGASINCREMENTO!J21+'IEPSGAS ESTIMACIONES'!J21</f>
        <v>108918.02430340143</v>
      </c>
      <c r="K18" s="604">
        <f>IEPSGASINCREMENTO!K21+'IEPSGAS ESTIMACIONES'!K21</f>
        <v>110425.4842672917</v>
      </c>
      <c r="L18" s="604">
        <f>IEPSGASINCREMENTO!L21+'IEPSGAS ESTIMACIONES'!L21</f>
        <v>110688.13718462538</v>
      </c>
      <c r="M18" s="604">
        <f>IEPSGASINCREMENTO!M21+'IEPSGAS ESTIMACIONES'!M21</f>
        <v>106201.51713245915</v>
      </c>
      <c r="N18" s="604">
        <f>IEPSGASINCREMENTO!N21+'IEPSGAS ESTIMACIONES'!N21</f>
        <v>107384.56120136796</v>
      </c>
      <c r="O18" s="605">
        <f t="shared" si="0"/>
        <v>1307551.7525913916</v>
      </c>
      <c r="P18" s="606"/>
    </row>
    <row r="19" spans="1:17" x14ac:dyDescent="0.2">
      <c r="A19" s="602" t="s">
        <v>287</v>
      </c>
      <c r="B19" s="614"/>
      <c r="C19" s="604">
        <f>IEPSGASINCREMENTO!C22+'IEPSGAS ESTIMACIONES'!C22</f>
        <v>444387.25921939523</v>
      </c>
      <c r="D19" s="604">
        <f>IEPSGASINCREMENTO!D22+'IEPSGAS ESTIMACIONES'!D22</f>
        <v>422095.9967001148</v>
      </c>
      <c r="E19" s="604">
        <f>IEPSGASINCREMENTO!E22+'IEPSGAS ESTIMACIONES'!E22</f>
        <v>408562.7975576414</v>
      </c>
      <c r="F19" s="604">
        <f>IEPSGASINCREMENTO!F22+'IEPSGAS ESTIMACIONES'!F22</f>
        <v>379689.79458836134</v>
      </c>
      <c r="G19" s="604">
        <f>IEPSGASINCREMENTO!G22+'IEPSGAS ESTIMACIONES'!G22</f>
        <v>435175.75436071376</v>
      </c>
      <c r="H19" s="604">
        <f>IEPSGASINCREMENTO!H22+'IEPSGAS ESTIMACIONES'!H22</f>
        <v>420319.54500167037</v>
      </c>
      <c r="I19" s="604">
        <f>IEPSGASINCREMENTO!I22+'IEPSGAS ESTIMACIONES'!I22</f>
        <v>435616.09008022235</v>
      </c>
      <c r="J19" s="604">
        <f>IEPSGASINCREMENTO!J22+'IEPSGAS ESTIMACIONES'!J22</f>
        <v>420488.483628424</v>
      </c>
      <c r="K19" s="604">
        <f>IEPSGASINCREMENTO!K22+'IEPSGAS ESTIMACIONES'!K22</f>
        <v>425735.39276938071</v>
      </c>
      <c r="L19" s="604">
        <f>IEPSGASINCREMENTO!L22+'IEPSGAS ESTIMACIONES'!L22</f>
        <v>427207.87125144631</v>
      </c>
      <c r="M19" s="604">
        <f>IEPSGASINCREMENTO!M22+'IEPSGAS ESTIMACIONES'!M22</f>
        <v>409926.60985719337</v>
      </c>
      <c r="N19" s="604">
        <f>IEPSGASINCREMENTO!N22+'IEPSGAS ESTIMACIONES'!N22</f>
        <v>411945.04858832498</v>
      </c>
      <c r="O19" s="605">
        <f t="shared" si="0"/>
        <v>5041150.6436028881</v>
      </c>
      <c r="P19" s="606"/>
    </row>
    <row r="20" spans="1:17" x14ac:dyDescent="0.2">
      <c r="A20" s="602" t="s">
        <v>162</v>
      </c>
      <c r="B20" s="614"/>
      <c r="C20" s="604">
        <f>IEPSGASINCREMENTO!C23+'IEPSGAS ESTIMACIONES'!C23</f>
        <v>187817.74426400589</v>
      </c>
      <c r="D20" s="604">
        <f>IEPSGASINCREMENTO!D23+'IEPSGAS ESTIMACIONES'!D23</f>
        <v>179085.27273211643</v>
      </c>
      <c r="E20" s="604">
        <f>IEPSGASINCREMENTO!E23+'IEPSGAS ESTIMACIONES'!E23</f>
        <v>175413.4362286648</v>
      </c>
      <c r="F20" s="604">
        <f>IEPSGASINCREMENTO!F23+'IEPSGAS ESTIMACIONES'!F23</f>
        <v>163437.97949433472</v>
      </c>
      <c r="G20" s="604">
        <f>IEPSGASINCREMENTO!G23+'IEPSGAS ESTIMACIONES'!G23</f>
        <v>186264.82821498762</v>
      </c>
      <c r="H20" s="604">
        <f>IEPSGASINCREMENTO!H23+'IEPSGAS ESTIMACIONES'!H23</f>
        <v>179832.78317022618</v>
      </c>
      <c r="I20" s="604">
        <f>IEPSGASINCREMENTO!I23+'IEPSGAS ESTIMACIONES'!I23</f>
        <v>186381.45621091069</v>
      </c>
      <c r="J20" s="604">
        <f>IEPSGASINCREMENTO!J23+'IEPSGAS ESTIMACIONES'!J23</f>
        <v>180298.88231008791</v>
      </c>
      <c r="K20" s="604">
        <f>IEPSGASINCREMENTO!K23+'IEPSGAS ESTIMACIONES'!K23</f>
        <v>181721.63108439746</v>
      </c>
      <c r="L20" s="604">
        <f>IEPSGASINCREMENTO!L23+'IEPSGAS ESTIMACIONES'!L23</f>
        <v>183015.00849279124</v>
      </c>
      <c r="M20" s="604">
        <f>IEPSGASINCREMENTO!M23+'IEPSGAS ESTIMACIONES'!M23</f>
        <v>175662.49186466809</v>
      </c>
      <c r="N20" s="604">
        <f>IEPSGASINCREMENTO!N23+'IEPSGAS ESTIMACIONES'!N23</f>
        <v>172847.73102057399</v>
      </c>
      <c r="O20" s="605">
        <f t="shared" si="0"/>
        <v>2151779.2450877652</v>
      </c>
      <c r="P20" s="606"/>
    </row>
    <row r="21" spans="1:17" x14ac:dyDescent="0.2">
      <c r="A21" s="602" t="s">
        <v>163</v>
      </c>
      <c r="B21" s="616"/>
      <c r="C21" s="604">
        <f>IEPSGASINCREMENTO!C24+'IEPSGAS ESTIMACIONES'!C24</f>
        <v>1870543.3840958318</v>
      </c>
      <c r="D21" s="604">
        <f>IEPSGASINCREMENTO!D24+'IEPSGAS ESTIMACIONES'!D24</f>
        <v>1768632.6196015086</v>
      </c>
      <c r="E21" s="604">
        <f>IEPSGASINCREMENTO!E24+'IEPSGAS ESTIMACIONES'!E24</f>
        <v>1687642.2042540123</v>
      </c>
      <c r="F21" s="604">
        <f>IEPSGASINCREMENTO!F24+'IEPSGAS ESTIMACIONES'!F24</f>
        <v>1563438.4789759144</v>
      </c>
      <c r="G21" s="604">
        <f>IEPSGASINCREMENTO!G24+'IEPSGAS ESTIMACIONES'!G24</f>
        <v>1804313.9476593551</v>
      </c>
      <c r="H21" s="604">
        <f>IEPSGASINCREMENTO!H24+'IEPSGAS ESTIMACIONES'!H24</f>
        <v>1743577.0049418521</v>
      </c>
      <c r="I21" s="604">
        <f>IEPSGASINCREMENTO!I24+'IEPSGAS ESTIMACIONES'!I24</f>
        <v>1806982.5363776505</v>
      </c>
      <c r="J21" s="604">
        <f>IEPSGASINCREMENTO!J24+'IEPSGAS ESTIMACIONES'!J24</f>
        <v>1739657.5663770929</v>
      </c>
      <c r="K21" s="604">
        <f>IEPSGASINCREMENTO!K24+'IEPSGAS ESTIMACIONES'!K24</f>
        <v>1771068.0020212342</v>
      </c>
      <c r="L21" s="604">
        <f>IEPSGASINCREMENTO!L24+'IEPSGAS ESTIMACIONES'!L24</f>
        <v>1769393.4699054165</v>
      </c>
      <c r="M21" s="604">
        <f>IEPSGASINCREMENTO!M24+'IEPSGAS ESTIMACIONES'!M24</f>
        <v>1697223.2984276386</v>
      </c>
      <c r="N21" s="604">
        <f>IEPSGASINCREMENTO!N24+'IEPSGAS ESTIMACIONES'!N24</f>
        <v>1748750.0729666755</v>
      </c>
      <c r="O21" s="605">
        <f t="shared" si="0"/>
        <v>20971222.585604183</v>
      </c>
      <c r="P21" s="606"/>
      <c r="Q21" s="606"/>
    </row>
    <row r="22" spans="1:17" x14ac:dyDescent="0.2">
      <c r="A22" s="602" t="s">
        <v>164</v>
      </c>
      <c r="B22" s="616"/>
      <c r="C22" s="604">
        <f>IEPSGASINCREMENTO!C25+'IEPSGAS ESTIMACIONES'!C25</f>
        <v>146894.16243170027</v>
      </c>
      <c r="D22" s="604">
        <f>IEPSGASINCREMENTO!D25+'IEPSGAS ESTIMACIONES'!D25</f>
        <v>139792.58252926782</v>
      </c>
      <c r="E22" s="604">
        <f>IEPSGASINCREMENTO!E25+'IEPSGAS ESTIMACIONES'!E25</f>
        <v>136112.63363994437</v>
      </c>
      <c r="F22" s="604">
        <f>IEPSGASINCREMENTO!F25+'IEPSGAS ESTIMACIONES'!F25</f>
        <v>126656.70711293095</v>
      </c>
      <c r="G22" s="604">
        <f>IEPSGASINCREMENTO!G25+'IEPSGAS ESTIMACIONES'!G25</f>
        <v>144756.05922813236</v>
      </c>
      <c r="H22" s="604">
        <f>IEPSGASINCREMENTO!H25+'IEPSGAS ESTIMACIONES'!H25</f>
        <v>139785.93086861935</v>
      </c>
      <c r="I22" s="604">
        <f>IEPSGASINCREMENTO!I25+'IEPSGAS ESTIMACIONES'!I25</f>
        <v>144874.69330951507</v>
      </c>
      <c r="J22" s="604">
        <f>IEPSGASINCREMENTO!J25+'IEPSGAS ESTIMACIONES'!J25</f>
        <v>139994.7103868585</v>
      </c>
      <c r="K22" s="604">
        <f>IEPSGASINCREMENTO!K25+'IEPSGAS ESTIMACIONES'!K25</f>
        <v>141421.12262337399</v>
      </c>
      <c r="L22" s="604">
        <f>IEPSGASINCREMENTO!L25+'IEPSGAS ESTIMACIONES'!L25</f>
        <v>142167.86988699439</v>
      </c>
      <c r="M22" s="604">
        <f>IEPSGASINCREMENTO!M25+'IEPSGAS ESTIMACIONES'!M25</f>
        <v>136436.60677082799</v>
      </c>
      <c r="N22" s="604">
        <f>IEPSGASINCREMENTO!N25+'IEPSGAS ESTIMACIONES'!N25</f>
        <v>135682.60930173844</v>
      </c>
      <c r="O22" s="605">
        <f t="shared" si="0"/>
        <v>1674575.6880899034</v>
      </c>
      <c r="P22" s="606"/>
      <c r="Q22" s="606"/>
    </row>
    <row r="23" spans="1:17" ht="13.5" thickBot="1" x14ac:dyDescent="0.25">
      <c r="A23" s="602" t="s">
        <v>165</v>
      </c>
      <c r="B23" s="615"/>
      <c r="C23" s="604">
        <f>IEPSGASINCREMENTO!C26+'IEPSGAS ESTIMACIONES'!C26</f>
        <v>259578.07371606509</v>
      </c>
      <c r="D23" s="604">
        <f>IEPSGASINCREMENTO!D26+'IEPSGAS ESTIMACIONES'!D26</f>
        <v>243804.58570892888</v>
      </c>
      <c r="E23" s="604">
        <f>IEPSGASINCREMENTO!E26+'IEPSGAS ESTIMACIONES'!E26</f>
        <v>227715.73743116338</v>
      </c>
      <c r="F23" s="604">
        <f>IEPSGASINCREMENTO!F26+'IEPSGAS ESTIMACIONES'!F26</f>
        <v>209940.9250251464</v>
      </c>
      <c r="G23" s="604">
        <f>IEPSGASINCREMENTO!G26+'IEPSGAS ESTIMACIONES'!G26</f>
        <v>244845.23051534389</v>
      </c>
      <c r="H23" s="604">
        <f>IEPSGASINCREMENTO!H26+'IEPSGAS ESTIMACIONES'!H26</f>
        <v>236779.36161214983</v>
      </c>
      <c r="I23" s="604">
        <f>IEPSGASINCREMENTO!I26+'IEPSGAS ESTIMACIONES'!I26</f>
        <v>245380.08639960136</v>
      </c>
      <c r="J23" s="604">
        <f>IEPSGASINCREMENTO!J26+'IEPSGAS ESTIMACIONES'!J26</f>
        <v>235300.75647138257</v>
      </c>
      <c r="K23" s="604">
        <f>IEPSGASINCREMENTO!K26+'IEPSGAS ESTIMACIONES'!K26</f>
        <v>241541.88841652323</v>
      </c>
      <c r="L23" s="604">
        <f>IEPSGASINCREMENTO!L26+'IEPSGAS ESTIMACIONES'!L26</f>
        <v>239720.39083737019</v>
      </c>
      <c r="M23" s="604">
        <f>IEPSGASINCREMENTO!M26+'IEPSGAS ESTIMACIONES'!M26</f>
        <v>229820.53366529878</v>
      </c>
      <c r="N23" s="604">
        <f>IEPSGASINCREMENTO!N26+'IEPSGAS ESTIMACIONES'!N26</f>
        <v>245656.92888770549</v>
      </c>
      <c r="O23" s="605">
        <f t="shared" si="0"/>
        <v>2860084.4986866792</v>
      </c>
      <c r="P23" s="606"/>
    </row>
    <row r="24" spans="1:17" ht="13.5" thickBot="1" x14ac:dyDescent="0.25">
      <c r="A24" s="607" t="s">
        <v>288</v>
      </c>
      <c r="B24" s="608">
        <f t="shared" ref="B24:O24" si="1">SUM(B4:B23)</f>
        <v>0</v>
      </c>
      <c r="C24" s="609">
        <f t="shared" si="1"/>
        <v>5344299.3680413868</v>
      </c>
      <c r="D24" s="609">
        <f t="shared" si="1"/>
        <v>5048188.4818867194</v>
      </c>
      <c r="E24" s="609">
        <f t="shared" si="1"/>
        <v>4802095.1182062514</v>
      </c>
      <c r="F24" s="609">
        <f t="shared" si="1"/>
        <v>4445601.5901103122</v>
      </c>
      <c r="G24" s="609">
        <f t="shared" si="1"/>
        <v>5138281.0518607087</v>
      </c>
      <c r="H24" s="609">
        <f t="shared" si="1"/>
        <v>4965849.6307085222</v>
      </c>
      <c r="I24" s="609">
        <f t="shared" si="1"/>
        <v>5146404.0465981467</v>
      </c>
      <c r="J24" s="609">
        <f t="shared" si="1"/>
        <v>4951818.8664919995</v>
      </c>
      <c r="K24" s="609">
        <f t="shared" si="1"/>
        <v>5047265.2920325957</v>
      </c>
      <c r="L24" s="609">
        <f t="shared" si="1"/>
        <v>5037665.1935285572</v>
      </c>
      <c r="M24" s="609">
        <f t="shared" si="1"/>
        <v>4831818.3883767184</v>
      </c>
      <c r="N24" s="609">
        <f t="shared" si="1"/>
        <v>5005357.422158082</v>
      </c>
      <c r="O24" s="609">
        <f t="shared" si="1"/>
        <v>59764644.449999996</v>
      </c>
    </row>
    <row r="25" spans="1:17" x14ac:dyDescent="0.2">
      <c r="A25" s="611" t="s">
        <v>289</v>
      </c>
    </row>
  </sheetData>
  <mergeCells count="1">
    <mergeCell ref="A1:O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25"/>
  <sheetViews>
    <sheetView workbookViewId="0">
      <selection sqref="A1:N1"/>
    </sheetView>
  </sheetViews>
  <sheetFormatPr baseColWidth="10" defaultRowHeight="12.75" x14ac:dyDescent="0.2"/>
  <cols>
    <col min="1" max="1" width="16.140625" style="597" customWidth="1"/>
    <col min="2" max="9" width="9.7109375" style="597" customWidth="1"/>
    <col min="10" max="10" width="11" style="597" customWidth="1"/>
    <col min="11" max="14" width="9.7109375" style="597" customWidth="1"/>
    <col min="15" max="16384" width="11.42578125" style="597"/>
  </cols>
  <sheetData>
    <row r="1" spans="1:16" x14ac:dyDescent="0.2">
      <c r="A1" s="1255" t="s">
        <v>485</v>
      </c>
      <c r="B1" s="1255"/>
      <c r="C1" s="1255"/>
      <c r="D1" s="1255"/>
      <c r="E1" s="1255"/>
      <c r="F1" s="1255"/>
      <c r="G1" s="1255"/>
      <c r="H1" s="1255"/>
      <c r="I1" s="1255"/>
      <c r="J1" s="1255"/>
      <c r="K1" s="1255"/>
      <c r="L1" s="1255"/>
      <c r="M1" s="1255"/>
      <c r="N1" s="1255"/>
    </row>
    <row r="2" spans="1:16" ht="13.5" thickBot="1" x14ac:dyDescent="0.25"/>
    <row r="3" spans="1:16" ht="28.5" customHeight="1" thickBot="1" x14ac:dyDescent="0.25">
      <c r="A3" s="897" t="s">
        <v>343</v>
      </c>
      <c r="B3" s="897" t="s">
        <v>1</v>
      </c>
      <c r="C3" s="899" t="s">
        <v>2</v>
      </c>
      <c r="D3" s="897" t="s">
        <v>3</v>
      </c>
      <c r="E3" s="899" t="s">
        <v>4</v>
      </c>
      <c r="F3" s="897" t="s">
        <v>5</v>
      </c>
      <c r="G3" s="897" t="s">
        <v>6</v>
      </c>
      <c r="H3" s="897" t="s">
        <v>7</v>
      </c>
      <c r="I3" s="899" t="s">
        <v>8</v>
      </c>
      <c r="J3" s="897" t="s">
        <v>9</v>
      </c>
      <c r="K3" s="899" t="s">
        <v>10</v>
      </c>
      <c r="L3" s="897" t="s">
        <v>11</v>
      </c>
      <c r="M3" s="897" t="s">
        <v>12</v>
      </c>
      <c r="N3" s="900" t="s">
        <v>168</v>
      </c>
    </row>
    <row r="4" spans="1:16" x14ac:dyDescent="0.2">
      <c r="A4" s="602" t="s">
        <v>282</v>
      </c>
      <c r="B4" s="604">
        <f>'FOFIR  INCREMENTO'!C7+'FOFIR ESTIMACIONES'!C7</f>
        <v>174702.7991064825</v>
      </c>
      <c r="C4" s="604">
        <f>'FOFIR  INCREMENTO'!D7+'FOFIR ESTIMACIONES'!D7</f>
        <v>121502.01468290688</v>
      </c>
      <c r="D4" s="604">
        <f>'FOFIR  INCREMENTO'!E7+'FOFIR ESTIMACIONES'!E7</f>
        <v>121502.01468290688</v>
      </c>
      <c r="E4" s="604">
        <f>'FOFIR  INCREMENTO'!F7+'FOFIR ESTIMACIONES'!F7</f>
        <v>214356.13075346878</v>
      </c>
      <c r="F4" s="604">
        <f>'FOFIR  INCREMENTO'!G7+'FOFIR ESTIMACIONES'!G7</f>
        <v>121502.01468290688</v>
      </c>
      <c r="G4" s="604">
        <f>'FOFIR  INCREMENTO'!H7+'FOFIR ESTIMACIONES'!H7</f>
        <v>121502.01468290688</v>
      </c>
      <c r="H4" s="604">
        <f>'FOFIR  INCREMENTO'!I7+'FOFIR ESTIMACIONES'!I7</f>
        <v>189161.34499765377</v>
      </c>
      <c r="I4" s="604">
        <f>'FOFIR  INCREMENTO'!J7+'FOFIR ESTIMACIONES'!J7</f>
        <v>121502.0146829069</v>
      </c>
      <c r="J4" s="604">
        <f>'FOFIR  INCREMENTO'!K7+'FOFIR ESTIMACIONES'!K7</f>
        <v>121502.0146829069</v>
      </c>
      <c r="K4" s="604">
        <f>'FOFIR  INCREMENTO'!L7+'FOFIR ESTIMACIONES'!L7</f>
        <v>178899.51154589365</v>
      </c>
      <c r="L4" s="604">
        <f>'FOFIR  INCREMENTO'!M7+'FOFIR ESTIMACIONES'!M7</f>
        <v>121502.01468290691</v>
      </c>
      <c r="M4" s="604">
        <f>'FOFIR  INCREMENTO'!N7+'FOFIR ESTIMACIONES'!N7</f>
        <v>121502.01468290691</v>
      </c>
      <c r="N4" s="605">
        <f t="shared" ref="N4:N24" si="0">SUM(B4:M4)</f>
        <v>1729135.9038667539</v>
      </c>
      <c r="P4" s="606"/>
    </row>
    <row r="5" spans="1:16" x14ac:dyDescent="0.2">
      <c r="A5" s="602" t="s">
        <v>147</v>
      </c>
      <c r="B5" s="604">
        <f>'FOFIR  INCREMENTO'!C8+'FOFIR ESTIMACIONES'!C8</f>
        <v>67757.709195673538</v>
      </c>
      <c r="C5" s="604">
        <f>'FOFIR  INCREMENTO'!D8+'FOFIR ESTIMACIONES'!D8</f>
        <v>49366.340212379662</v>
      </c>
      <c r="D5" s="604">
        <f>'FOFIR  INCREMENTO'!E8+'FOFIR ESTIMACIONES'!E8</f>
        <v>49366.340212379662</v>
      </c>
      <c r="E5" s="604">
        <f>'FOFIR  INCREMENTO'!F8+'FOFIR ESTIMACIONES'!F8</f>
        <v>81792.112524602198</v>
      </c>
      <c r="F5" s="604">
        <f>'FOFIR  INCREMENTO'!G8+'FOFIR ESTIMACIONES'!G8</f>
        <v>49366.340212379662</v>
      </c>
      <c r="G5" s="604">
        <f>'FOFIR  INCREMENTO'!H8+'FOFIR ESTIMACIONES'!H8</f>
        <v>49366.340212379662</v>
      </c>
      <c r="H5" s="604">
        <f>'FOFIR  INCREMENTO'!I8+'FOFIR ESTIMACIONES'!I8</f>
        <v>70862.029437681704</v>
      </c>
      <c r="I5" s="604">
        <f>'FOFIR  INCREMENTO'!J8+'FOFIR ESTIMACIONES'!J8</f>
        <v>49366.34021237967</v>
      </c>
      <c r="J5" s="604">
        <f>'FOFIR  INCREMENTO'!K8+'FOFIR ESTIMACIONES'!K8</f>
        <v>49366.34021237967</v>
      </c>
      <c r="K5" s="604">
        <f>'FOFIR  INCREMENTO'!L8+'FOFIR ESTIMACIONES'!L8</f>
        <v>69592.835809152501</v>
      </c>
      <c r="L5" s="604">
        <f>'FOFIR  INCREMENTO'!M8+'FOFIR ESTIMACIONES'!M8</f>
        <v>49366.340212379684</v>
      </c>
      <c r="M5" s="604">
        <f>'FOFIR  INCREMENTO'!N8+'FOFIR ESTIMACIONES'!N8</f>
        <v>49366.340212379684</v>
      </c>
      <c r="N5" s="605">
        <f t="shared" si="0"/>
        <v>684935.40866614727</v>
      </c>
      <c r="P5" s="606"/>
    </row>
    <row r="6" spans="1:16" x14ac:dyDescent="0.2">
      <c r="A6" s="602" t="s">
        <v>148</v>
      </c>
      <c r="B6" s="604">
        <f>'FOFIR  INCREMENTO'!C9+'FOFIR ESTIMACIONES'!C9</f>
        <v>47813.22259090576</v>
      </c>
      <c r="C6" s="604">
        <f>'FOFIR  INCREMENTO'!D9+'FOFIR ESTIMACIONES'!D9</f>
        <v>35998.723353442991</v>
      </c>
      <c r="D6" s="604">
        <f>'FOFIR  INCREMENTO'!E9+'FOFIR ESTIMACIONES'!E9</f>
        <v>35998.723353442991</v>
      </c>
      <c r="E6" s="604">
        <f>'FOFIR  INCREMENTO'!F9+'FOFIR ESTIMACIONES'!F9</f>
        <v>57018.797903986961</v>
      </c>
      <c r="F6" s="604">
        <f>'FOFIR  INCREMENTO'!G9+'FOFIR ESTIMACIONES'!G9</f>
        <v>35998.723353442991</v>
      </c>
      <c r="G6" s="604">
        <f>'FOFIR  INCREMENTO'!H9+'FOFIR ESTIMACIONES'!H9</f>
        <v>35998.723353442991</v>
      </c>
      <c r="H6" s="604">
        <f>'FOFIR  INCREMENTO'!I9+'FOFIR ESTIMACIONES'!I9</f>
        <v>48704.981899560713</v>
      </c>
      <c r="I6" s="604">
        <f>'FOFIR  INCREMENTO'!J9+'FOFIR ESTIMACIONES'!J9</f>
        <v>35998.723353442998</v>
      </c>
      <c r="J6" s="604">
        <f>'FOFIR  INCREMENTO'!K9+'FOFIR ESTIMACIONES'!K9</f>
        <v>35998.723353442998</v>
      </c>
      <c r="K6" s="604">
        <f>'FOFIR  INCREMENTO'!L9+'FOFIR ESTIMACIONES'!L9</f>
        <v>49215.809648383743</v>
      </c>
      <c r="L6" s="604">
        <f>'FOFIR  INCREMENTO'!M9+'FOFIR ESTIMACIONES'!M9</f>
        <v>35998.723353443005</v>
      </c>
      <c r="M6" s="604">
        <f>'FOFIR  INCREMENTO'!N9+'FOFIR ESTIMACIONES'!N9</f>
        <v>35998.723353443005</v>
      </c>
      <c r="N6" s="605">
        <f t="shared" si="0"/>
        <v>490742.59887038125</v>
      </c>
      <c r="P6" s="606"/>
    </row>
    <row r="7" spans="1:16" x14ac:dyDescent="0.2">
      <c r="A7" s="602" t="s">
        <v>283</v>
      </c>
      <c r="B7" s="604">
        <f>'FOFIR  INCREMENTO'!C10+'FOFIR ESTIMACIONES'!C10</f>
        <v>3225182.6492750561</v>
      </c>
      <c r="C7" s="604">
        <f>'FOFIR  INCREMENTO'!D10+'FOFIR ESTIMACIONES'!D10</f>
        <v>477181.81402370543</v>
      </c>
      <c r="D7" s="604">
        <f>'FOFIR  INCREMENTO'!E10+'FOFIR ESTIMACIONES'!E10</f>
        <v>477181.81402370543</v>
      </c>
      <c r="E7" s="604">
        <f>'FOFIR  INCREMENTO'!F10+'FOFIR ESTIMACIONES'!F10</f>
        <v>5016403.8022099864</v>
      </c>
      <c r="F7" s="604">
        <f>'FOFIR  INCREMENTO'!G10+'FOFIR ESTIMACIONES'!G10</f>
        <v>477181.81402370543</v>
      </c>
      <c r="G7" s="604">
        <f>'FOFIR  INCREMENTO'!H10+'FOFIR ESTIMACIONES'!H10</f>
        <v>477181.81402370543</v>
      </c>
      <c r="H7" s="604">
        <f>'FOFIR  INCREMENTO'!I10+'FOFIR ESTIMACIONES'!I10</f>
        <v>5463539.4852433847</v>
      </c>
      <c r="I7" s="604">
        <f>'FOFIR  INCREMENTO'!J10+'FOFIR ESTIMACIONES'!J10</f>
        <v>477181.81402370532</v>
      </c>
      <c r="J7" s="604">
        <f>'FOFIR  INCREMENTO'!K10+'FOFIR ESTIMACIONES'!K10</f>
        <v>477181.81402370532</v>
      </c>
      <c r="K7" s="604">
        <f>'FOFIR  INCREMENTO'!L10+'FOFIR ESTIMACIONES'!L10</f>
        <v>3139287.671029211</v>
      </c>
      <c r="L7" s="604">
        <f>'FOFIR  INCREMENTO'!M10+'FOFIR ESTIMACIONES'!M10</f>
        <v>477181.8140237052</v>
      </c>
      <c r="M7" s="604">
        <f>'FOFIR  INCREMENTO'!N10+'FOFIR ESTIMACIONES'!N10</f>
        <v>477181.8140237052</v>
      </c>
      <c r="N7" s="605">
        <f t="shared" si="0"/>
        <v>20661868.119947277</v>
      </c>
      <c r="P7" s="606"/>
    </row>
    <row r="8" spans="1:16" x14ac:dyDescent="0.2">
      <c r="A8" s="602" t="s">
        <v>150</v>
      </c>
      <c r="B8" s="604">
        <f>'FOFIR  INCREMENTO'!C11+'FOFIR ESTIMACIONES'!C11</f>
        <v>488326.01151658618</v>
      </c>
      <c r="C8" s="604">
        <f>'FOFIR  INCREMENTO'!D11+'FOFIR ESTIMACIONES'!D11</f>
        <v>231899.58687169553</v>
      </c>
      <c r="D8" s="604">
        <f>'FOFIR  INCREMENTO'!E11+'FOFIR ESTIMACIONES'!E11</f>
        <v>231899.58687169553</v>
      </c>
      <c r="E8" s="604">
        <f>'FOFIR  INCREMENTO'!F11+'FOFIR ESTIMACIONES'!F11</f>
        <v>663776.15288638812</v>
      </c>
      <c r="F8" s="604">
        <f>'FOFIR  INCREMENTO'!G11+'FOFIR ESTIMACIONES'!G11</f>
        <v>231899.58687169553</v>
      </c>
      <c r="G8" s="604">
        <f>'FOFIR  INCREMENTO'!H11+'FOFIR ESTIMACIONES'!H11</f>
        <v>231899.58687169553</v>
      </c>
      <c r="H8" s="604">
        <f>'FOFIR  INCREMENTO'!I11+'FOFIR ESTIMACIONES'!I11</f>
        <v>649001.28223387362</v>
      </c>
      <c r="I8" s="604">
        <f>'FOFIR  INCREMENTO'!J11+'FOFIR ESTIMACIONES'!J11</f>
        <v>231899.58687169556</v>
      </c>
      <c r="J8" s="604">
        <f>'FOFIR  INCREMENTO'!K11+'FOFIR ESTIMACIONES'!K11</f>
        <v>231899.58687169556</v>
      </c>
      <c r="K8" s="604">
        <f>'FOFIR  INCREMENTO'!L11+'FOFIR ESTIMACIONES'!L11</f>
        <v>490090.72017276334</v>
      </c>
      <c r="L8" s="604">
        <f>'FOFIR  INCREMENTO'!M11+'FOFIR ESTIMACIONES'!M11</f>
        <v>231899.58687169562</v>
      </c>
      <c r="M8" s="604">
        <f>'FOFIR  INCREMENTO'!N11+'FOFIR ESTIMACIONES'!N11</f>
        <v>231899.58687169562</v>
      </c>
      <c r="N8" s="605">
        <f t="shared" si="0"/>
        <v>4146390.8617831762</v>
      </c>
      <c r="P8" s="606"/>
    </row>
    <row r="9" spans="1:16" x14ac:dyDescent="0.2">
      <c r="A9" s="602" t="s">
        <v>284</v>
      </c>
      <c r="B9" s="604">
        <f>'FOFIR  INCREMENTO'!C12+'FOFIR ESTIMACIONES'!C12</f>
        <v>136453.60714572915</v>
      </c>
      <c r="C9" s="604">
        <f>'FOFIR  INCREMENTO'!D12+'FOFIR ESTIMACIONES'!D12</f>
        <v>106030.95594905697</v>
      </c>
      <c r="D9" s="604">
        <f>'FOFIR  INCREMENTO'!E12+'FOFIR ESTIMACIONES'!E12</f>
        <v>106030.95594905697</v>
      </c>
      <c r="E9" s="604">
        <f>'FOFIR  INCREMENTO'!F12+'FOFIR ESTIMACIONES'!F12</f>
        <v>160749.1511690777</v>
      </c>
      <c r="F9" s="604">
        <f>'FOFIR  INCREMENTO'!G12+'FOFIR ESTIMACIONES'!G12</f>
        <v>106030.95594905697</v>
      </c>
      <c r="G9" s="604">
        <f>'FOFIR  INCREMENTO'!H12+'FOFIR ESTIMACIONES'!H12</f>
        <v>106030.95594905697</v>
      </c>
      <c r="H9" s="604">
        <f>'FOFIR  INCREMENTO'!I12+'FOFIR ESTIMACIONES'!I12</f>
        <v>135320.42967954889</v>
      </c>
      <c r="I9" s="604">
        <f>'FOFIR  INCREMENTO'!J12+'FOFIR ESTIMACIONES'!J12</f>
        <v>106030.95594905698</v>
      </c>
      <c r="J9" s="604">
        <f>'FOFIR  INCREMENTO'!K12+'FOFIR ESTIMACIONES'!K12</f>
        <v>106030.95594905698</v>
      </c>
      <c r="K9" s="604">
        <f>'FOFIR  INCREMENTO'!L12+'FOFIR ESTIMACIONES'!L12</f>
        <v>140761.23821080133</v>
      </c>
      <c r="L9" s="604">
        <f>'FOFIR  INCREMENTO'!M12+'FOFIR ESTIMACIONES'!M12</f>
        <v>106030.95594905701</v>
      </c>
      <c r="M9" s="604">
        <f>'FOFIR  INCREMENTO'!N12+'FOFIR ESTIMACIONES'!N12</f>
        <v>106030.95594905701</v>
      </c>
      <c r="N9" s="605">
        <f t="shared" si="0"/>
        <v>1421532.0737976129</v>
      </c>
      <c r="P9" s="606"/>
    </row>
    <row r="10" spans="1:16" x14ac:dyDescent="0.2">
      <c r="A10" s="602" t="s">
        <v>152</v>
      </c>
      <c r="B10" s="604">
        <f>'FOFIR  INCREMENTO'!C13+'FOFIR ESTIMACIONES'!C13</f>
        <v>46992.973146049102</v>
      </c>
      <c r="C10" s="604">
        <f>'FOFIR  INCREMENTO'!D13+'FOFIR ESTIMACIONES'!D13</f>
        <v>36548.071590392741</v>
      </c>
      <c r="D10" s="604">
        <f>'FOFIR  INCREMENTO'!E13+'FOFIR ESTIMACIONES'!E13</f>
        <v>36548.071590392741</v>
      </c>
      <c r="E10" s="604">
        <f>'FOFIR  INCREMENTO'!F13+'FOFIR ESTIMACIONES'!F13</f>
        <v>55340.695909915616</v>
      </c>
      <c r="F10" s="604">
        <f>'FOFIR  INCREMENTO'!G13+'FOFIR ESTIMACIONES'!G13</f>
        <v>36548.071590392741</v>
      </c>
      <c r="G10" s="604">
        <f>'FOFIR  INCREMENTO'!H13+'FOFIR ESTIMACIONES'!H13</f>
        <v>36548.071590392741</v>
      </c>
      <c r="H10" s="604">
        <f>'FOFIR  INCREMENTO'!I13+'FOFIR ESTIMACIONES'!I13</f>
        <v>46566.6693932989</v>
      </c>
      <c r="I10" s="604">
        <f>'FOFIR  INCREMENTO'!J13+'FOFIR ESTIMACIONES'!J13</f>
        <v>36548.071590392741</v>
      </c>
      <c r="J10" s="604">
        <f>'FOFIR  INCREMENTO'!K13+'FOFIR ESTIMACIONES'!K13</f>
        <v>36548.071590392741</v>
      </c>
      <c r="K10" s="604">
        <f>'FOFIR  INCREMENTO'!L13+'FOFIR ESTIMACIONES'!L13</f>
        <v>48479.456730764963</v>
      </c>
      <c r="L10" s="604">
        <f>'FOFIR  INCREMENTO'!M13+'FOFIR ESTIMACIONES'!M13</f>
        <v>36548.071590392756</v>
      </c>
      <c r="M10" s="604">
        <f>'FOFIR  INCREMENTO'!N13+'FOFIR ESTIMACIONES'!N13</f>
        <v>36548.071590392756</v>
      </c>
      <c r="N10" s="605">
        <f t="shared" si="0"/>
        <v>489764.36790317041</v>
      </c>
      <c r="P10" s="606"/>
    </row>
    <row r="11" spans="1:16" x14ac:dyDescent="0.2">
      <c r="A11" s="602" t="s">
        <v>153</v>
      </c>
      <c r="B11" s="604">
        <f>'FOFIR  INCREMENTO'!C14+'FOFIR ESTIMACIONES'!C14</f>
        <v>132038.48695661707</v>
      </c>
      <c r="C11" s="604">
        <f>'FOFIR  INCREMENTO'!D14+'FOFIR ESTIMACIONES'!D14</f>
        <v>90363.530124479948</v>
      </c>
      <c r="D11" s="604">
        <f>'FOFIR  INCREMENTO'!E14+'FOFIR ESTIMACIONES'!E14</f>
        <v>90363.530124479948</v>
      </c>
      <c r="E11" s="604">
        <f>'FOFIR  INCREMENTO'!F14+'FOFIR ESTIMACIONES'!F14</f>
        <v>162887.59524698238</v>
      </c>
      <c r="F11" s="604">
        <f>'FOFIR  INCREMENTO'!G14+'FOFIR ESTIMACIONES'!G14</f>
        <v>90363.530124479948</v>
      </c>
      <c r="G11" s="604">
        <f>'FOFIR  INCREMENTO'!H14+'FOFIR ESTIMACIONES'!H14</f>
        <v>90363.530124479948</v>
      </c>
      <c r="H11" s="604">
        <f>'FOFIR  INCREMENTO'!I14+'FOFIR ESTIMACIONES'!I14</f>
        <v>144603.18912957722</v>
      </c>
      <c r="I11" s="604">
        <f>'FOFIR  INCREMENTO'!J14+'FOFIR ESTIMACIONES'!J14</f>
        <v>90363.530124479963</v>
      </c>
      <c r="J11" s="604">
        <f>'FOFIR  INCREMENTO'!K14+'FOFIR ESTIMACIONES'!K14</f>
        <v>90363.530124479963</v>
      </c>
      <c r="K11" s="604">
        <f>'FOFIR  INCREMENTO'!L14+'FOFIR ESTIMACIONES'!L14</f>
        <v>135074.65350753858</v>
      </c>
      <c r="L11" s="604">
        <f>'FOFIR  INCREMENTO'!M14+'FOFIR ESTIMACIONES'!M14</f>
        <v>90363.530124479992</v>
      </c>
      <c r="M11" s="604">
        <f>'FOFIR  INCREMENTO'!N14+'FOFIR ESTIMACIONES'!N14</f>
        <v>90363.530124479992</v>
      </c>
      <c r="N11" s="605">
        <f t="shared" si="0"/>
        <v>1297512.1658365547</v>
      </c>
      <c r="P11" s="606"/>
    </row>
    <row r="12" spans="1:16" x14ac:dyDescent="0.2">
      <c r="A12" s="602" t="s">
        <v>154</v>
      </c>
      <c r="B12" s="604">
        <f>'FOFIR  INCREMENTO'!C15+'FOFIR ESTIMACIONES'!C15</f>
        <v>75865.499950531434</v>
      </c>
      <c r="C12" s="604">
        <f>'FOFIR  INCREMENTO'!D15+'FOFIR ESTIMACIONES'!D15</f>
        <v>55928.039234531607</v>
      </c>
      <c r="D12" s="604">
        <f>'FOFIR  INCREMENTO'!E15+'FOFIR ESTIMACIONES'!E15</f>
        <v>55928.039234531607</v>
      </c>
      <c r="E12" s="604">
        <f>'FOFIR  INCREMENTO'!F15+'FOFIR ESTIMACIONES'!F15</f>
        <v>91186.608357738645</v>
      </c>
      <c r="F12" s="604">
        <f>'FOFIR  INCREMENTO'!G15+'FOFIR ESTIMACIONES'!G15</f>
        <v>55928.039234531607</v>
      </c>
      <c r="G12" s="604">
        <f>'FOFIR  INCREMENTO'!H15+'FOFIR ESTIMACIONES'!H15</f>
        <v>55928.039234531607</v>
      </c>
      <c r="H12" s="604">
        <f>'FOFIR  INCREMENTO'!I15+'FOFIR ESTIMACIONES'!I15</f>
        <v>78610.480185030916</v>
      </c>
      <c r="I12" s="604">
        <f>'FOFIR  INCREMENTO'!J15+'FOFIR ESTIMACIONES'!J15</f>
        <v>55928.039234531614</v>
      </c>
      <c r="J12" s="604">
        <f>'FOFIR  INCREMENTO'!K15+'FOFIR ESTIMACIONES'!K15</f>
        <v>55928.039234531614</v>
      </c>
      <c r="K12" s="604">
        <f>'FOFIR  INCREMENTO'!L15+'FOFIR ESTIMACIONES'!L15</f>
        <v>77980.775459098324</v>
      </c>
      <c r="L12" s="604">
        <f>'FOFIR  INCREMENTO'!M15+'FOFIR ESTIMACIONES'!M15</f>
        <v>55928.039234531629</v>
      </c>
      <c r="M12" s="604">
        <f>'FOFIR  INCREMENTO'!N15+'FOFIR ESTIMACIONES'!N15</f>
        <v>55928.039234531629</v>
      </c>
      <c r="N12" s="605">
        <f t="shared" si="0"/>
        <v>771067.67782865197</v>
      </c>
      <c r="P12" s="606"/>
    </row>
    <row r="13" spans="1:16" x14ac:dyDescent="0.2">
      <c r="A13" s="602" t="s">
        <v>155</v>
      </c>
      <c r="B13" s="604">
        <f>'FOFIR  INCREMENTO'!C16+'FOFIR ESTIMACIONES'!C16</f>
        <v>54192.888608414331</v>
      </c>
      <c r="C13" s="604">
        <f>'FOFIR  INCREMENTO'!D16+'FOFIR ESTIMACIONES'!D16</f>
        <v>41844.172352154317</v>
      </c>
      <c r="D13" s="604">
        <f>'FOFIR  INCREMENTO'!E16+'FOFIR ESTIMACIONES'!E16</f>
        <v>41844.172352154317</v>
      </c>
      <c r="E13" s="604">
        <f>'FOFIR  INCREMENTO'!F16+'FOFIR ESTIMACIONES'!F16</f>
        <v>64001.644523778778</v>
      </c>
      <c r="F13" s="604">
        <f>'FOFIR  INCREMENTO'!G16+'FOFIR ESTIMACIONES'!G16</f>
        <v>41844.172352154317</v>
      </c>
      <c r="G13" s="604">
        <f>'FOFIR  INCREMENTO'!H16+'FOFIR ESTIMACIONES'!H16</f>
        <v>41844.172352154317</v>
      </c>
      <c r="H13" s="604">
        <f>'FOFIR  INCREMENTO'!I16+'FOFIR ESTIMACIONES'!I16</f>
        <v>54040.129117327684</v>
      </c>
      <c r="I13" s="604">
        <f>'FOFIR  INCREMENTO'!J16+'FOFIR ESTIMACIONES'!J16</f>
        <v>41844.172352154324</v>
      </c>
      <c r="J13" s="604">
        <f>'FOFIR  INCREMENTO'!K16+'FOFIR ESTIMACIONES'!K16</f>
        <v>41844.172352154324</v>
      </c>
      <c r="K13" s="604">
        <f>'FOFIR  INCREMENTO'!L16+'FOFIR ESTIMACIONES'!L16</f>
        <v>55879.039396524844</v>
      </c>
      <c r="L13" s="604">
        <f>'FOFIR  INCREMENTO'!M16+'FOFIR ESTIMACIONES'!M16</f>
        <v>41844.172352154339</v>
      </c>
      <c r="M13" s="604">
        <f>'FOFIR  INCREMENTO'!N16+'FOFIR ESTIMACIONES'!N16</f>
        <v>41844.172352154339</v>
      </c>
      <c r="N13" s="605">
        <f t="shared" si="0"/>
        <v>562867.08046328032</v>
      </c>
      <c r="P13" s="606"/>
    </row>
    <row r="14" spans="1:16" x14ac:dyDescent="0.2">
      <c r="A14" s="602" t="s">
        <v>156</v>
      </c>
      <c r="B14" s="604">
        <f>'FOFIR  INCREMENTO'!C17+'FOFIR ESTIMACIONES'!C17</f>
        <v>147564.12850521115</v>
      </c>
      <c r="C14" s="604">
        <f>'FOFIR  INCREMENTO'!D17+'FOFIR ESTIMACIONES'!D17</f>
        <v>111884.71033221856</v>
      </c>
      <c r="D14" s="604">
        <f>'FOFIR  INCREMENTO'!E17+'FOFIR ESTIMACIONES'!E17</f>
        <v>111884.71033221856</v>
      </c>
      <c r="E14" s="604">
        <f>'FOFIR  INCREMENTO'!F17+'FOFIR ESTIMACIONES'!F17</f>
        <v>175505.16128460714</v>
      </c>
      <c r="F14" s="604">
        <f>'FOFIR  INCREMENTO'!G17+'FOFIR ESTIMACIONES'!G17</f>
        <v>111884.71033221856</v>
      </c>
      <c r="G14" s="604">
        <f>'FOFIR  INCREMENTO'!H17+'FOFIR ESTIMACIONES'!H17</f>
        <v>111884.71033221856</v>
      </c>
      <c r="H14" s="604">
        <f>'FOFIR  INCREMENTO'!I17+'FOFIR ESTIMACIONES'!I17</f>
        <v>149441.9306137565</v>
      </c>
      <c r="I14" s="604">
        <f>'FOFIR  INCREMENTO'!J17+'FOFIR ESTIMACIONES'!J17</f>
        <v>111884.71033221857</v>
      </c>
      <c r="J14" s="604">
        <f>'FOFIR  INCREMENTO'!K17+'FOFIR ESTIMACIONES'!K17</f>
        <v>111884.71033221857</v>
      </c>
      <c r="K14" s="604">
        <f>'FOFIR  INCREMENTO'!L17+'FOFIR ESTIMACIONES'!L17</f>
        <v>151965.33991700626</v>
      </c>
      <c r="L14" s="604">
        <f>'FOFIR  INCREMENTO'!M17+'FOFIR ESTIMACIONES'!M17</f>
        <v>111884.7103322186</v>
      </c>
      <c r="M14" s="604">
        <f>'FOFIR  INCREMENTO'!N17+'FOFIR ESTIMACIONES'!N17</f>
        <v>111884.7103322186</v>
      </c>
      <c r="N14" s="605">
        <f t="shared" si="0"/>
        <v>1519554.2429783295</v>
      </c>
      <c r="P14" s="606"/>
    </row>
    <row r="15" spans="1:16" x14ac:dyDescent="0.2">
      <c r="A15" s="602" t="s">
        <v>157</v>
      </c>
      <c r="B15" s="604">
        <f>'FOFIR  INCREMENTO'!C18+'FOFIR ESTIMACIONES'!C18</f>
        <v>96826.375822283764</v>
      </c>
      <c r="C15" s="604">
        <f>'FOFIR  INCREMENTO'!D18+'FOFIR ESTIMACIONES'!D18</f>
        <v>72980.638079546887</v>
      </c>
      <c r="D15" s="604">
        <f>'FOFIR  INCREMENTO'!E18+'FOFIR ESTIMACIONES'!E18</f>
        <v>72980.638079546887</v>
      </c>
      <c r="E15" s="604">
        <f>'FOFIR  INCREMENTO'!F18+'FOFIR ESTIMACIONES'!F18</f>
        <v>115420.71071759965</v>
      </c>
      <c r="F15" s="604">
        <f>'FOFIR  INCREMENTO'!G18+'FOFIR ESTIMACIONES'!G18</f>
        <v>72980.638079546887</v>
      </c>
      <c r="G15" s="604">
        <f>'FOFIR  INCREMENTO'!H18+'FOFIR ESTIMACIONES'!H18</f>
        <v>72980.638079546887</v>
      </c>
      <c r="H15" s="604">
        <f>'FOFIR  INCREMENTO'!I18+'FOFIR ESTIMACIONES'!I18</f>
        <v>98543.228991679658</v>
      </c>
      <c r="I15" s="604">
        <f>'FOFIR  INCREMENTO'!J18+'FOFIR ESTIMACIONES'!J18</f>
        <v>72980.638079546901</v>
      </c>
      <c r="J15" s="604">
        <f>'FOFIR  INCREMENTO'!K18+'FOFIR ESTIMACIONES'!K18</f>
        <v>72980.638079546901</v>
      </c>
      <c r="K15" s="604">
        <f>'FOFIR  INCREMENTO'!L18+'FOFIR ESTIMACIONES'!L18</f>
        <v>99674.128610340471</v>
      </c>
      <c r="L15" s="604">
        <f>'FOFIR  INCREMENTO'!M18+'FOFIR ESTIMACIONES'!M18</f>
        <v>72980.638079546916</v>
      </c>
      <c r="M15" s="604">
        <f>'FOFIR  INCREMENTO'!N18+'FOFIR ESTIMACIONES'!N18</f>
        <v>72980.638079546916</v>
      </c>
      <c r="N15" s="605">
        <f t="shared" si="0"/>
        <v>994309.54877827852</v>
      </c>
      <c r="P15" s="606"/>
    </row>
    <row r="16" spans="1:16" x14ac:dyDescent="0.2">
      <c r="A16" s="602" t="s">
        <v>158</v>
      </c>
      <c r="B16" s="604">
        <f>'FOFIR  INCREMENTO'!C19+'FOFIR ESTIMACIONES'!C19</f>
        <v>179210.28524713858</v>
      </c>
      <c r="C16" s="604">
        <f>'FOFIR  INCREMENTO'!D19+'FOFIR ESTIMACIONES'!D19</f>
        <v>130843.26334358008</v>
      </c>
      <c r="D16" s="604">
        <f>'FOFIR  INCREMENTO'!E19+'FOFIR ESTIMACIONES'!E19</f>
        <v>130843.26334358008</v>
      </c>
      <c r="E16" s="604">
        <f>'FOFIR  INCREMENTO'!F19+'FOFIR ESTIMACIONES'!F19</f>
        <v>216164.0529685833</v>
      </c>
      <c r="F16" s="604">
        <f>'FOFIR  INCREMENTO'!G19+'FOFIR ESTIMACIONES'!G19</f>
        <v>130843.26334358008</v>
      </c>
      <c r="G16" s="604">
        <f>'FOFIR  INCREMENTO'!H19+'FOFIR ESTIMACIONES'!H19</f>
        <v>130843.26334358008</v>
      </c>
      <c r="H16" s="604">
        <f>'FOFIR  INCREMENTO'!I19+'FOFIR ESTIMACIONES'!I19</f>
        <v>187112.95991160395</v>
      </c>
      <c r="I16" s="604">
        <f>'FOFIR  INCREMENTO'!J19+'FOFIR ESTIMACIONES'!J19</f>
        <v>130843.2633435801</v>
      </c>
      <c r="J16" s="604">
        <f>'FOFIR  INCREMENTO'!K19+'FOFIR ESTIMACIONES'!K19</f>
        <v>130843.2633435801</v>
      </c>
      <c r="K16" s="604">
        <f>'FOFIR  INCREMENTO'!L19+'FOFIR ESTIMACIONES'!L19</f>
        <v>184089.46612526887</v>
      </c>
      <c r="L16" s="604">
        <f>'FOFIR  INCREMENTO'!M19+'FOFIR ESTIMACIONES'!M19</f>
        <v>130843.26334358011</v>
      </c>
      <c r="M16" s="604">
        <f>'FOFIR  INCREMENTO'!N19+'FOFIR ESTIMACIONES'!N19</f>
        <v>130843.26334358011</v>
      </c>
      <c r="N16" s="605">
        <f t="shared" si="0"/>
        <v>1813322.8710012352</v>
      </c>
      <c r="P16" s="606"/>
    </row>
    <row r="17" spans="1:16" x14ac:dyDescent="0.2">
      <c r="A17" s="602" t="s">
        <v>285</v>
      </c>
      <c r="B17" s="604">
        <f>'FOFIR  INCREMENTO'!C20+'FOFIR ESTIMACIONES'!C20</f>
        <v>32505.751227623507</v>
      </c>
      <c r="C17" s="604">
        <f>'FOFIR  INCREMENTO'!D20+'FOFIR ESTIMACIONES'!D20</f>
        <v>24744.008144028532</v>
      </c>
      <c r="D17" s="604">
        <f>'FOFIR  INCREMENTO'!E20+'FOFIR ESTIMACIONES'!E20</f>
        <v>24744.008144028532</v>
      </c>
      <c r="E17" s="604">
        <f>'FOFIR  INCREMENTO'!F20+'FOFIR ESTIMACIONES'!F20</f>
        <v>38602.003404253082</v>
      </c>
      <c r="F17" s="604">
        <f>'FOFIR  INCREMENTO'!G20+'FOFIR ESTIMACIONES'!G20</f>
        <v>24744.008144028532</v>
      </c>
      <c r="G17" s="604">
        <f>'FOFIR  INCREMENTO'!H20+'FOFIR ESTIMACIONES'!H20</f>
        <v>24744.008144028532</v>
      </c>
      <c r="H17" s="604">
        <f>'FOFIR  INCREMENTO'!I20+'FOFIR ESTIMACIONES'!I20</f>
        <v>32810.214629972506</v>
      </c>
      <c r="I17" s="604">
        <f>'FOFIR  INCREMENTO'!J20+'FOFIR ESTIMACIONES'!J20</f>
        <v>24744.008144028536</v>
      </c>
      <c r="J17" s="604">
        <f>'FOFIR  INCREMENTO'!K20+'FOFIR ESTIMACIONES'!K20</f>
        <v>24744.008144028536</v>
      </c>
      <c r="K17" s="604">
        <f>'FOFIR  INCREMENTO'!L20+'FOFIR ESTIMACIONES'!L20</f>
        <v>33484.307613544326</v>
      </c>
      <c r="L17" s="604">
        <f>'FOFIR  INCREMENTO'!M20+'FOFIR ESTIMACIONES'!M20</f>
        <v>24744.008144028543</v>
      </c>
      <c r="M17" s="604">
        <f>'FOFIR  INCREMENTO'!N20+'FOFIR ESTIMACIONES'!N20</f>
        <v>24744.008144028543</v>
      </c>
      <c r="N17" s="605">
        <f t="shared" si="0"/>
        <v>335354.34202762175</v>
      </c>
      <c r="P17" s="606"/>
    </row>
    <row r="18" spans="1:16" x14ac:dyDescent="0.2">
      <c r="A18" s="602" t="s">
        <v>286</v>
      </c>
      <c r="B18" s="604">
        <f>'FOFIR  INCREMENTO'!C21+'FOFIR ESTIMACIONES'!C21</f>
        <v>101189.41718137034</v>
      </c>
      <c r="C18" s="604">
        <f>'FOFIR  INCREMENTO'!D21+'FOFIR ESTIMACIONES'!D21</f>
        <v>75377.130834143434</v>
      </c>
      <c r="D18" s="604">
        <f>'FOFIR  INCREMENTO'!E21+'FOFIR ESTIMACIONES'!E21</f>
        <v>75377.130834143434</v>
      </c>
      <c r="E18" s="604">
        <f>'FOFIR  INCREMENTO'!F21+'FOFIR ESTIMACIONES'!F21</f>
        <v>121156.68113779688</v>
      </c>
      <c r="F18" s="604">
        <f>'FOFIR  INCREMENTO'!G21+'FOFIR ESTIMACIONES'!G21</f>
        <v>75377.130834143434</v>
      </c>
      <c r="G18" s="604">
        <f>'FOFIR  INCREMENTO'!H21+'FOFIR ESTIMACIONES'!H21</f>
        <v>75377.130834143434</v>
      </c>
      <c r="H18" s="604">
        <f>'FOFIR  INCREMENTO'!I21+'FOFIR ESTIMACIONES'!I21</f>
        <v>103979.53014766726</v>
      </c>
      <c r="I18" s="604">
        <f>'FOFIR  INCREMENTO'!J21+'FOFIR ESTIMACIONES'!J21</f>
        <v>75377.130834143449</v>
      </c>
      <c r="J18" s="604">
        <f>'FOFIR  INCREMENTO'!K21+'FOFIR ESTIMACIONES'!K21</f>
        <v>75377.130834143449</v>
      </c>
      <c r="K18" s="604">
        <f>'FOFIR  INCREMENTO'!L21+'FOFIR ESTIMACIONES'!L21</f>
        <v>104082.96237262231</v>
      </c>
      <c r="L18" s="604">
        <f>'FOFIR  INCREMENTO'!M21+'FOFIR ESTIMACIONES'!M21</f>
        <v>75377.130834143463</v>
      </c>
      <c r="M18" s="604">
        <f>'FOFIR  INCREMENTO'!N21+'FOFIR ESTIMACIONES'!N21</f>
        <v>75377.130834143463</v>
      </c>
      <c r="N18" s="605">
        <f t="shared" si="0"/>
        <v>1033425.6375126045</v>
      </c>
      <c r="P18" s="606"/>
    </row>
    <row r="19" spans="1:16" x14ac:dyDescent="0.2">
      <c r="A19" s="602" t="s">
        <v>287</v>
      </c>
      <c r="B19" s="604">
        <f>'FOFIR  INCREMENTO'!C22+'FOFIR ESTIMACIONES'!C22</f>
        <v>461272.27752178803</v>
      </c>
      <c r="C19" s="604">
        <f>'FOFIR  INCREMENTO'!D22+'FOFIR ESTIMACIONES'!D22</f>
        <v>297973.02904631291</v>
      </c>
      <c r="D19" s="604">
        <f>'FOFIR  INCREMENTO'!E22+'FOFIR ESTIMACIONES'!E22</f>
        <v>297973.02904631291</v>
      </c>
      <c r="E19" s="604">
        <f>'FOFIR  INCREMENTO'!F22+'FOFIR ESTIMACIONES'!F22</f>
        <v>579664.76053672889</v>
      </c>
      <c r="F19" s="604">
        <f>'FOFIR  INCREMENTO'!G22+'FOFIR ESTIMACIONES'!G22</f>
        <v>297973.02904631291</v>
      </c>
      <c r="G19" s="604">
        <f>'FOFIR  INCREMENTO'!H22+'FOFIR ESTIMACIONES'!H22</f>
        <v>297973.02904631291</v>
      </c>
      <c r="H19" s="604">
        <f>'FOFIR  INCREMENTO'!I22+'FOFIR ESTIMACIONES'!I22</f>
        <v>524937.40036941692</v>
      </c>
      <c r="I19" s="604">
        <f>'FOFIR  INCREMENTO'!J22+'FOFIR ESTIMACIONES'!J22</f>
        <v>297973.02904631291</v>
      </c>
      <c r="J19" s="604">
        <f>'FOFIR  INCREMENTO'!K22+'FOFIR ESTIMACIONES'!K22</f>
        <v>297973.02904631291</v>
      </c>
      <c r="K19" s="604">
        <f>'FOFIR  INCREMENTO'!L22+'FOFIR ESTIMACIONES'!L22</f>
        <v>470240.65599797003</v>
      </c>
      <c r="L19" s="604">
        <f>'FOFIR  INCREMENTO'!M22+'FOFIR ESTIMACIONES'!M22</f>
        <v>297973.02904631302</v>
      </c>
      <c r="M19" s="604">
        <f>'FOFIR  INCREMENTO'!N22+'FOFIR ESTIMACIONES'!N22</f>
        <v>297973.02904631302</v>
      </c>
      <c r="N19" s="605">
        <f t="shared" si="0"/>
        <v>4419899.3267964078</v>
      </c>
      <c r="P19" s="606"/>
    </row>
    <row r="20" spans="1:16" x14ac:dyDescent="0.2">
      <c r="A20" s="602" t="s">
        <v>162</v>
      </c>
      <c r="B20" s="604">
        <f>'FOFIR  INCREMENTO'!C23+'FOFIR ESTIMACIONES'!C23</f>
        <v>176323.41688441052</v>
      </c>
      <c r="C20" s="604">
        <f>'FOFIR  INCREMENTO'!D23+'FOFIR ESTIMACIONES'!D23</f>
        <v>129749.58861980484</v>
      </c>
      <c r="D20" s="604">
        <f>'FOFIR  INCREMENTO'!E23+'FOFIR ESTIMACIONES'!E23</f>
        <v>129749.58861980484</v>
      </c>
      <c r="E20" s="604">
        <f>'FOFIR  INCREMENTO'!F23+'FOFIR ESTIMACIONES'!F23</f>
        <v>212073.6607546258</v>
      </c>
      <c r="F20" s="604">
        <f>'FOFIR  INCREMENTO'!G23+'FOFIR ESTIMACIONES'!G23</f>
        <v>129749.58861980484</v>
      </c>
      <c r="G20" s="604">
        <f>'FOFIR  INCREMENTO'!H23+'FOFIR ESTIMACIONES'!H23</f>
        <v>129749.58861980484</v>
      </c>
      <c r="H20" s="604">
        <f>'FOFIR  INCREMENTO'!I23+'FOFIR ESTIMACIONES'!I23</f>
        <v>182966.67848237863</v>
      </c>
      <c r="I20" s="604">
        <f>'FOFIR  INCREMENTO'!J23+'FOFIR ESTIMACIONES'!J23</f>
        <v>129749.58861980485</v>
      </c>
      <c r="J20" s="604">
        <f>'FOFIR  INCREMENTO'!K23+'FOFIR ESTIMACIONES'!K23</f>
        <v>129749.58861980485</v>
      </c>
      <c r="K20" s="604">
        <f>'FOFIR  INCREMENTO'!L23+'FOFIR ESTIMACIONES'!L23</f>
        <v>181217.8162655721</v>
      </c>
      <c r="L20" s="604">
        <f>'FOFIR  INCREMENTO'!M23+'FOFIR ESTIMACIONES'!M23</f>
        <v>129749.58861980488</v>
      </c>
      <c r="M20" s="604">
        <f>'FOFIR  INCREMENTO'!N23+'FOFIR ESTIMACIONES'!N23</f>
        <v>129749.58861980488</v>
      </c>
      <c r="N20" s="605">
        <f t="shared" si="0"/>
        <v>1790578.2813454261</v>
      </c>
      <c r="P20" s="606"/>
    </row>
    <row r="21" spans="1:16" x14ac:dyDescent="0.2">
      <c r="A21" s="602" t="s">
        <v>163</v>
      </c>
      <c r="B21" s="604">
        <f>'FOFIR  INCREMENTO'!C24+'FOFIR ESTIMACIONES'!C24</f>
        <v>6719551.2302797418</v>
      </c>
      <c r="C21" s="604">
        <f>'FOFIR  INCREMENTO'!D24+'FOFIR ESTIMACIONES'!D24</f>
        <v>1508122.0528485023</v>
      </c>
      <c r="D21" s="604">
        <f>'FOFIR  INCREMENTO'!E24+'FOFIR ESTIMACIONES'!E24</f>
        <v>1508122.0528485023</v>
      </c>
      <c r="E21" s="604">
        <f>'FOFIR  INCREMENTO'!F24+'FOFIR ESTIMACIONES'!F24</f>
        <v>10143234.631943872</v>
      </c>
      <c r="F21" s="604">
        <f>'FOFIR  INCREMENTO'!G24+'FOFIR ESTIMACIONES'!G24</f>
        <v>1508122.0528485023</v>
      </c>
      <c r="G21" s="604">
        <f>'FOFIR  INCREMENTO'!H24+'FOFIR ESTIMACIONES'!H24</f>
        <v>1508122.0528485023</v>
      </c>
      <c r="H21" s="604">
        <f>'FOFIR  INCREMENTO'!I24+'FOFIR ESTIMACIONES'!I24</f>
        <v>10809325.654574838</v>
      </c>
      <c r="I21" s="604">
        <f>'FOFIR  INCREMENTO'!J24+'FOFIR ESTIMACIONES'!J24</f>
        <v>1508122.0528485021</v>
      </c>
      <c r="J21" s="604">
        <f>'FOFIR  INCREMENTO'!K24+'FOFIR ESTIMACIONES'!K24</f>
        <v>1508122.0528485021</v>
      </c>
      <c r="K21" s="604">
        <f>'FOFIR  INCREMENTO'!L24+'FOFIR ESTIMACIONES'!L24</f>
        <v>6588138.9324077107</v>
      </c>
      <c r="L21" s="604">
        <f>'FOFIR  INCREMENTO'!M24+'FOFIR ESTIMACIONES'!M24</f>
        <v>1508122.0528485023</v>
      </c>
      <c r="M21" s="604">
        <f>'FOFIR  INCREMENTO'!N24+'FOFIR ESTIMACIONES'!N24</f>
        <v>1508122.0528485023</v>
      </c>
      <c r="N21" s="605">
        <f t="shared" si="0"/>
        <v>46325226.871994182</v>
      </c>
      <c r="P21" s="606"/>
    </row>
    <row r="22" spans="1:16" x14ac:dyDescent="0.2">
      <c r="A22" s="602" t="s">
        <v>164</v>
      </c>
      <c r="B22" s="604">
        <f>'FOFIR  INCREMENTO'!C25+'FOFIR ESTIMACIONES'!C25</f>
        <v>130288.00409433023</v>
      </c>
      <c r="C22" s="604">
        <f>'FOFIR  INCREMENTO'!D25+'FOFIR ESTIMACIONES'!D25</f>
        <v>98993.388283729495</v>
      </c>
      <c r="D22" s="604">
        <f>'FOFIR  INCREMENTO'!E25+'FOFIR ESTIMACIONES'!E25</f>
        <v>98993.388283729495</v>
      </c>
      <c r="E22" s="604">
        <f>'FOFIR  INCREMENTO'!F25+'FOFIR ESTIMACIONES'!F25</f>
        <v>154833.29681899492</v>
      </c>
      <c r="F22" s="604">
        <f>'FOFIR  INCREMENTO'!G25+'FOFIR ESTIMACIONES'!G25</f>
        <v>98993.388283729495</v>
      </c>
      <c r="G22" s="604">
        <f>'FOFIR  INCREMENTO'!H25+'FOFIR ESTIMACIONES'!H25</f>
        <v>98993.388283729495</v>
      </c>
      <c r="H22" s="604">
        <f>'FOFIR  INCREMENTO'!I25+'FOFIR ESTIMACIONES'!I25</f>
        <v>131714.16991311341</v>
      </c>
      <c r="I22" s="604">
        <f>'FOFIR  INCREMENTO'!J25+'FOFIR ESTIMACIONES'!J25</f>
        <v>98993.38828372951</v>
      </c>
      <c r="J22" s="604">
        <f>'FOFIR  INCREMENTO'!K25+'FOFIR ESTIMACIONES'!K25</f>
        <v>98993.38828372951</v>
      </c>
      <c r="K22" s="604">
        <f>'FOFIR  INCREMENTO'!L25+'FOFIR ESTIMACIONES'!L25</f>
        <v>134193.15034344266</v>
      </c>
      <c r="L22" s="604">
        <f>'FOFIR  INCREMENTO'!M25+'FOFIR ESTIMACIONES'!M25</f>
        <v>98993.388283729539</v>
      </c>
      <c r="M22" s="604">
        <f>'FOFIR  INCREMENTO'!N25+'FOFIR ESTIMACIONES'!N25</f>
        <v>98993.388283729539</v>
      </c>
      <c r="N22" s="605">
        <f t="shared" si="0"/>
        <v>1342975.7274397174</v>
      </c>
      <c r="P22" s="606"/>
    </row>
    <row r="23" spans="1:16" ht="13.5" thickBot="1" x14ac:dyDescent="0.25">
      <c r="A23" s="602" t="s">
        <v>165</v>
      </c>
      <c r="B23" s="604">
        <f>'FOFIR  INCREMENTO'!C26+'FOFIR ESTIMACIONES'!C26</f>
        <v>318680.4707325261</v>
      </c>
      <c r="C23" s="604">
        <f>'FOFIR  INCREMENTO'!D26+'FOFIR ESTIMACIONES'!D26</f>
        <v>157165.1172923976</v>
      </c>
      <c r="D23" s="604">
        <f>'FOFIR  INCREMENTO'!E26+'FOFIR ESTIMACIONES'!E26</f>
        <v>157165.1172923976</v>
      </c>
      <c r="E23" s="604">
        <f>'FOFIR  INCREMENTO'!F26+'FOFIR ESTIMACIONES'!F26</f>
        <v>429683.17334198928</v>
      </c>
      <c r="F23" s="604">
        <f>'FOFIR  INCREMENTO'!G26+'FOFIR ESTIMACIONES'!G26</f>
        <v>157165.1172923976</v>
      </c>
      <c r="G23" s="604">
        <f>'FOFIR  INCREMENTO'!H26+'FOFIR ESTIMACIONES'!H26</f>
        <v>157165.1172923976</v>
      </c>
      <c r="H23" s="604">
        <f>'FOFIR  INCREMENTO'!I26+'FOFIR ESTIMACIONES'!I26</f>
        <v>417030.36408248171</v>
      </c>
      <c r="I23" s="604">
        <f>'FOFIR  INCREMENTO'!J26+'FOFIR ESTIMACIONES'!J26</f>
        <v>157165.1172923976</v>
      </c>
      <c r="J23" s="604">
        <f>'FOFIR  INCREMENTO'!K26+'FOFIR ESTIMACIONES'!K26</f>
        <v>157165.1172923976</v>
      </c>
      <c r="K23" s="604">
        <f>'FOFIR  INCREMENTO'!L26+'FOFIR ESTIMACIONES'!L26</f>
        <v>320371.29466701683</v>
      </c>
      <c r="L23" s="604">
        <f>'FOFIR  INCREMENTO'!M26+'FOFIR ESTIMACIONES'!M26</f>
        <v>157165.11729239766</v>
      </c>
      <c r="M23" s="604">
        <f>'FOFIR  INCREMENTO'!N26+'FOFIR ESTIMACIONES'!N26</f>
        <v>157165.11729239766</v>
      </c>
      <c r="N23" s="605">
        <f t="shared" si="0"/>
        <v>2743086.2411631946</v>
      </c>
      <c r="P23" s="606"/>
    </row>
    <row r="24" spans="1:16" ht="13.5" thickBot="1" x14ac:dyDescent="0.25">
      <c r="A24" s="607" t="s">
        <v>288</v>
      </c>
      <c r="B24" s="609">
        <f t="shared" ref="B24:M24" si="1">SUM(B4:B23)</f>
        <v>12812737.204988472</v>
      </c>
      <c r="C24" s="609">
        <f t="shared" si="1"/>
        <v>3854496.1752190106</v>
      </c>
      <c r="D24" s="609">
        <f t="shared" si="1"/>
        <v>3854496.1752190106</v>
      </c>
      <c r="E24" s="609">
        <f t="shared" si="1"/>
        <v>18753850.824394975</v>
      </c>
      <c r="F24" s="609">
        <f t="shared" si="1"/>
        <v>3854496.1752190106</v>
      </c>
      <c r="G24" s="609">
        <f t="shared" si="1"/>
        <v>3854496.1752190106</v>
      </c>
      <c r="H24" s="609">
        <f t="shared" si="1"/>
        <v>19518272.153033845</v>
      </c>
      <c r="I24" s="609">
        <f t="shared" si="1"/>
        <v>3854496.1752190106</v>
      </c>
      <c r="J24" s="609">
        <f t="shared" si="1"/>
        <v>3854496.1752190106</v>
      </c>
      <c r="K24" s="609">
        <f t="shared" si="1"/>
        <v>12652719.765830627</v>
      </c>
      <c r="L24" s="609">
        <f t="shared" si="1"/>
        <v>3854496.1752190106</v>
      </c>
      <c r="M24" s="609">
        <f t="shared" si="1"/>
        <v>3854496.1752190106</v>
      </c>
      <c r="N24" s="609">
        <f t="shared" si="0"/>
        <v>94573549.350000009</v>
      </c>
    </row>
    <row r="25" spans="1:16" x14ac:dyDescent="0.2">
      <c r="A25" s="611" t="s">
        <v>289</v>
      </c>
    </row>
  </sheetData>
  <mergeCells count="1">
    <mergeCell ref="A1:N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Q25"/>
  <sheetViews>
    <sheetView workbookViewId="0">
      <selection sqref="A1:O1"/>
    </sheetView>
  </sheetViews>
  <sheetFormatPr baseColWidth="10" defaultRowHeight="12.75" x14ac:dyDescent="0.2"/>
  <cols>
    <col min="1" max="1" width="16.5703125" style="597" customWidth="1"/>
    <col min="2" max="2" width="9.28515625" style="597" hidden="1" customWidth="1"/>
    <col min="3" max="10" width="9.7109375" style="597" customWidth="1"/>
    <col min="11" max="11" width="11.28515625" style="597" customWidth="1"/>
    <col min="12" max="15" width="9.7109375" style="597" customWidth="1"/>
    <col min="16" max="16" width="12.7109375" style="597" bestFit="1" customWidth="1"/>
    <col min="17" max="16384" width="11.42578125" style="597"/>
  </cols>
  <sheetData>
    <row r="1" spans="1:17" x14ac:dyDescent="0.2">
      <c r="A1" s="1255" t="s">
        <v>486</v>
      </c>
      <c r="B1" s="1255"/>
      <c r="C1" s="1255"/>
      <c r="D1" s="1255"/>
      <c r="E1" s="1255"/>
      <c r="F1" s="1255"/>
      <c r="G1" s="1255"/>
      <c r="H1" s="1255"/>
      <c r="I1" s="1255"/>
      <c r="J1" s="1255"/>
      <c r="K1" s="1255"/>
      <c r="L1" s="1255"/>
      <c r="M1" s="1255"/>
      <c r="N1" s="1255"/>
      <c r="O1" s="1255"/>
    </row>
    <row r="2" spans="1:17" ht="13.5" thickBot="1" x14ac:dyDescent="0.25"/>
    <row r="3" spans="1:17" ht="34.5" thickBot="1" x14ac:dyDescent="0.25">
      <c r="A3" s="897" t="s">
        <v>343</v>
      </c>
      <c r="B3" s="901" t="s">
        <v>281</v>
      </c>
      <c r="C3" s="897" t="s">
        <v>1</v>
      </c>
      <c r="D3" s="899" t="s">
        <v>2</v>
      </c>
      <c r="E3" s="897" t="s">
        <v>3</v>
      </c>
      <c r="F3" s="899" t="s">
        <v>4</v>
      </c>
      <c r="G3" s="897" t="s">
        <v>5</v>
      </c>
      <c r="H3" s="897" t="s">
        <v>6</v>
      </c>
      <c r="I3" s="897" t="s">
        <v>7</v>
      </c>
      <c r="J3" s="899" t="s">
        <v>8</v>
      </c>
      <c r="K3" s="897" t="s">
        <v>9</v>
      </c>
      <c r="L3" s="899" t="s">
        <v>10</v>
      </c>
      <c r="M3" s="897" t="s">
        <v>11</v>
      </c>
      <c r="N3" s="897" t="s">
        <v>12</v>
      </c>
      <c r="O3" s="900" t="s">
        <v>168</v>
      </c>
      <c r="P3" s="737"/>
    </row>
    <row r="4" spans="1:17" x14ac:dyDescent="0.2">
      <c r="A4" s="602" t="s">
        <v>282</v>
      </c>
      <c r="B4" s="613"/>
      <c r="C4" s="604">
        <f>' FOCO INCREMENTO'!C7+' FOCO ESTIMACION'!C7</f>
        <v>237286.06079642283</v>
      </c>
      <c r="D4" s="604">
        <f>' FOCO INCREMENTO'!D7+' FOCO ESTIMACION'!D7</f>
        <v>262710.35944333038</v>
      </c>
      <c r="E4" s="604">
        <f>' FOCO INCREMENTO'!E7+' FOCO ESTIMACION'!E7</f>
        <v>257277.43790930128</v>
      </c>
      <c r="F4" s="604">
        <f>' FOCO INCREMENTO'!F7+' FOCO ESTIMACION'!F7</f>
        <v>278753.43178065994</v>
      </c>
      <c r="G4" s="604">
        <f>' FOCO INCREMENTO'!G7+' FOCO ESTIMACION'!G7</f>
        <v>278896.30023950932</v>
      </c>
      <c r="H4" s="604">
        <f>' FOCO INCREMENTO'!H7+' FOCO ESTIMACION'!H7</f>
        <v>284760.16209347959</v>
      </c>
      <c r="I4" s="604">
        <f>' FOCO INCREMENTO'!I7+' FOCO ESTIMACION'!I7</f>
        <v>275074.03644353506</v>
      </c>
      <c r="J4" s="604">
        <f>' FOCO INCREMENTO'!J7+' FOCO ESTIMACION'!J7</f>
        <v>284670.69571068027</v>
      </c>
      <c r="K4" s="604">
        <f>' FOCO INCREMENTO'!K7+' FOCO ESTIMACION'!K7</f>
        <v>280699.29155462811</v>
      </c>
      <c r="L4" s="604">
        <f>' FOCO INCREMENTO'!L7+' FOCO ESTIMACION'!L7</f>
        <v>271498.59625492012</v>
      </c>
      <c r="M4" s="604">
        <f>' FOCO INCREMENTO'!M7+' FOCO ESTIMACION'!M7</f>
        <v>280126.41637200885</v>
      </c>
      <c r="N4" s="604">
        <f>' FOCO INCREMENTO'!N7+' FOCO ESTIMACION'!N7</f>
        <v>259710.58257922888</v>
      </c>
      <c r="O4" s="605">
        <f>SUM(C4:N4)</f>
        <v>3251463.371177705</v>
      </c>
      <c r="P4" s="606"/>
      <c r="Q4" s="606"/>
    </row>
    <row r="5" spans="1:17" x14ac:dyDescent="0.2">
      <c r="A5" s="602" t="s">
        <v>147</v>
      </c>
      <c r="B5" s="614"/>
      <c r="C5" s="604">
        <f>' FOCO INCREMENTO'!C8+' FOCO ESTIMACION'!C8</f>
        <v>111631.30178727089</v>
      </c>
      <c r="D5" s="604">
        <f>' FOCO INCREMENTO'!D8+' FOCO ESTIMACION'!D8</f>
        <v>137589.2525261144</v>
      </c>
      <c r="E5" s="604">
        <f>' FOCO INCREMENTO'!E8+' FOCO ESTIMACION'!E8</f>
        <v>112859.39907080593</v>
      </c>
      <c r="F5" s="604">
        <f>' FOCO INCREMENTO'!F8+' FOCO ESTIMACION'!F8</f>
        <v>141936.60225049255</v>
      </c>
      <c r="G5" s="604">
        <f>' FOCO INCREMENTO'!G8+' FOCO ESTIMACION'!G8</f>
        <v>131853.45342680841</v>
      </c>
      <c r="H5" s="604">
        <f>' FOCO INCREMENTO'!H8+' FOCO ESTIMACION'!H8</f>
        <v>144409.11891441664</v>
      </c>
      <c r="I5" s="604">
        <f>' FOCO INCREMENTO'!I8+' FOCO ESTIMACION'!I8</f>
        <v>128472.64022361391</v>
      </c>
      <c r="J5" s="604">
        <f>' FOCO INCREMENTO'!J8+' FOCO ESTIMACION'!J8</f>
        <v>139786.45780966728</v>
      </c>
      <c r="K5" s="604">
        <f>' FOCO INCREMENTO'!K8+' FOCO ESTIMACION'!K8</f>
        <v>142973.85325154092</v>
      </c>
      <c r="L5" s="604">
        <f>' FOCO INCREMENTO'!L8+' FOCO ESTIMACION'!L8</f>
        <v>125201.54893601897</v>
      </c>
      <c r="M5" s="604">
        <f>' FOCO INCREMENTO'!M8+' FOCO ESTIMACION'!M8</f>
        <v>140244.28206497792</v>
      </c>
      <c r="N5" s="604">
        <f>' FOCO INCREMENTO'!N8+' FOCO ESTIMACION'!N8</f>
        <v>159673.09243163437</v>
      </c>
      <c r="O5" s="605">
        <f t="shared" ref="O5:O23" si="0">SUM(C5:N5)</f>
        <v>1616631.0026933623</v>
      </c>
      <c r="P5" s="606"/>
    </row>
    <row r="6" spans="1:17" x14ac:dyDescent="0.2">
      <c r="A6" s="602" t="s">
        <v>148</v>
      </c>
      <c r="B6" s="614"/>
      <c r="C6" s="604">
        <f>' FOCO INCREMENTO'!C9+' FOCO ESTIMACION'!C9</f>
        <v>96673.251734622027</v>
      </c>
      <c r="D6" s="604">
        <f>' FOCO INCREMENTO'!D9+' FOCO ESTIMACION'!D9</f>
        <v>127046.06767712202</v>
      </c>
      <c r="E6" s="604">
        <f>' FOCO INCREMENTO'!E9+' FOCO ESTIMACION'!E9</f>
        <v>93125.775429642978</v>
      </c>
      <c r="F6" s="604">
        <f>' FOCO INCREMENTO'!F9+' FOCO ESTIMACION'!F9</f>
        <v>129006.31256431958</v>
      </c>
      <c r="G6" s="604">
        <f>' FOCO INCREMENTO'!G9+' FOCO ESTIMACION'!G9</f>
        <v>114550.35913737434</v>
      </c>
      <c r="H6" s="604">
        <f>' FOCO INCREMENTO'!H9+' FOCO ESTIMACION'!H9</f>
        <v>130948.26536241574</v>
      </c>
      <c r="I6" s="604">
        <f>' FOCO INCREMENTO'!I9+' FOCO ESTIMACION'!I9</f>
        <v>110730.09755149341</v>
      </c>
      <c r="J6" s="604">
        <f>' FOCO INCREMENTO'!J9+' FOCO ESTIMACION'!J9</f>
        <v>124361.98495212974</v>
      </c>
      <c r="K6" s="604">
        <f>' FOCO INCREMENTO'!K9+' FOCO ESTIMACION'!K9</f>
        <v>129973.27296304484</v>
      </c>
      <c r="L6" s="604">
        <f>' FOCO INCREMENTO'!L9+' FOCO ESTIMACION'!L9</f>
        <v>107001.24872181349</v>
      </c>
      <c r="M6" s="604">
        <f>' FOCO INCREMENTO'!M9+' FOCO ESTIMACION'!M9</f>
        <v>126222.19578724257</v>
      </c>
      <c r="N6" s="604">
        <f>' FOCO INCREMENTO'!N9+' FOCO ESTIMACION'!N9</f>
        <v>159419.91107006028</v>
      </c>
      <c r="O6" s="605">
        <f t="shared" si="0"/>
        <v>1449058.7429512811</v>
      </c>
      <c r="P6" s="606"/>
    </row>
    <row r="7" spans="1:17" x14ac:dyDescent="0.2">
      <c r="A7" s="602" t="s">
        <v>283</v>
      </c>
      <c r="B7" s="614"/>
      <c r="C7" s="604">
        <f>' FOCO INCREMENTO'!C10+' FOCO ESTIMACION'!C10</f>
        <v>499800.11592747545</v>
      </c>
      <c r="D7" s="604">
        <f>' FOCO INCREMENTO'!D10+' FOCO ESTIMACION'!D10</f>
        <v>586537.79245528602</v>
      </c>
      <c r="E7" s="604">
        <f>' FOCO INCREMENTO'!E10+' FOCO ESTIMACION'!E10</f>
        <v>522521.64811635506</v>
      </c>
      <c r="F7" s="604">
        <f>' FOCO INCREMENTO'!F10+' FOCO ESTIMACION'!F10</f>
        <v>612742.3855560876</v>
      </c>
      <c r="G7" s="604">
        <f>' FOCO INCREMENTO'!G10+' FOCO ESTIMACION'!G10</f>
        <v>588977.59183445026</v>
      </c>
      <c r="H7" s="604">
        <f>' FOCO INCREMENTO'!H10+' FOCO ESTIMACION'!H10</f>
        <v>624556.70615395799</v>
      </c>
      <c r="I7" s="604">
        <f>' FOCO INCREMENTO'!I10+' FOCO ESTIMACION'!I10</f>
        <v>577174.3969736984</v>
      </c>
      <c r="J7" s="604">
        <f>' FOCO INCREMENTO'!J10+' FOCO ESTIMACION'!J10</f>
        <v>613508.08102751395</v>
      </c>
      <c r="K7" s="604">
        <f>' FOCO INCREMENTO'!K10+' FOCO ESTIMACION'!K10</f>
        <v>617129.81413090031</v>
      </c>
      <c r="L7" s="604">
        <f>' FOCO INCREMENTO'!L10+' FOCO ESTIMACION'!L10</f>
        <v>565875.92614551424</v>
      </c>
      <c r="M7" s="604">
        <f>' FOCO INCREMENTO'!M10+' FOCO ESTIMACION'!M10</f>
        <v>610090.54020246968</v>
      </c>
      <c r="N7" s="604">
        <f>' FOCO INCREMENTO'!N10+' FOCO ESTIMACION'!N10</f>
        <v>635924.33389769285</v>
      </c>
      <c r="O7" s="605">
        <f t="shared" si="0"/>
        <v>7054839.3324214024</v>
      </c>
      <c r="P7" s="606"/>
    </row>
    <row r="8" spans="1:17" x14ac:dyDescent="0.2">
      <c r="A8" s="602" t="s">
        <v>150</v>
      </c>
      <c r="B8" s="614"/>
      <c r="C8" s="604">
        <f>' FOCO INCREMENTO'!C11+' FOCO ESTIMACION'!C11</f>
        <v>385186.103662699</v>
      </c>
      <c r="D8" s="604">
        <f>' FOCO INCREMENTO'!D11+' FOCO ESTIMACION'!D11</f>
        <v>425144.56074204057</v>
      </c>
      <c r="E8" s="604">
        <f>' FOCO INCREMENTO'!E11+' FOCO ESTIMACION'!E11</f>
        <v>418404.97248087457</v>
      </c>
      <c r="F8" s="604">
        <f>' FOCO INCREMENTO'!F11+' FOCO ESTIMACION'!F11</f>
        <v>451487.39086855343</v>
      </c>
      <c r="G8" s="604">
        <f>' FOCO INCREMENTO'!G11+' FOCO ESTIMACION'!G11</f>
        <v>452671.29850105493</v>
      </c>
      <c r="H8" s="604">
        <f>' FOCO INCREMENTO'!H11+' FOCO ESTIMACION'!H11</f>
        <v>461271.24748937192</v>
      </c>
      <c r="I8" s="604">
        <f>' FOCO INCREMENTO'!I11+' FOCO ESTIMACION'!I11</f>
        <v>446615.05612836068</v>
      </c>
      <c r="J8" s="604">
        <f>' FOCO INCREMENTO'!J11+' FOCO ESTIMACION'!J11</f>
        <v>461555.62283135479</v>
      </c>
      <c r="K8" s="604">
        <f>' FOCO INCREMENTO'!K11+' FOCO ESTIMACION'!K11</f>
        <v>454634.67669235647</v>
      </c>
      <c r="L8" s="604">
        <f>' FOCO INCREMENTO'!L11+' FOCO ESTIMACION'!L11</f>
        <v>440960.08204770571</v>
      </c>
      <c r="M8" s="604">
        <f>' FOCO INCREMENTO'!M11+' FOCO ESTIMACION'!M11</f>
        <v>453935.45534920436</v>
      </c>
      <c r="N8" s="604">
        <f>' FOCO INCREMENTO'!N11+' FOCO ESTIMACION'!N11</f>
        <v>418071.45327439264</v>
      </c>
      <c r="O8" s="605">
        <f t="shared" si="0"/>
        <v>5269937.9200679688</v>
      </c>
      <c r="P8" s="606"/>
    </row>
    <row r="9" spans="1:17" x14ac:dyDescent="0.2">
      <c r="A9" s="602" t="s">
        <v>284</v>
      </c>
      <c r="B9" s="614"/>
      <c r="C9" s="604">
        <f>' FOCO INCREMENTO'!C12+' FOCO ESTIMACION'!C12</f>
        <v>437720.61207802768</v>
      </c>
      <c r="D9" s="604">
        <f>' FOCO INCREMENTO'!D12+' FOCO ESTIMACION'!D12</f>
        <v>467237.32540428883</v>
      </c>
      <c r="E9" s="604">
        <f>' FOCO INCREMENTO'!E12+' FOCO ESTIMACION'!E12</f>
        <v>484753.69465282746</v>
      </c>
      <c r="F9" s="604">
        <f>' FOCO INCREMENTO'!F12+' FOCO ESTIMACION'!F12</f>
        <v>500806.23541638546</v>
      </c>
      <c r="G9" s="604">
        <f>' FOCO INCREMENTO'!G12+' FOCO ESTIMACION'!G12</f>
        <v>513675.81494411035</v>
      </c>
      <c r="H9" s="604">
        <f>' FOCO INCREMENTO'!H12+' FOCO ESTIMACION'!H12</f>
        <v>512325.66346947261</v>
      </c>
      <c r="I9" s="604">
        <f>' FOCO INCREMENTO'!I12+' FOCO ESTIMACION'!I12</f>
        <v>508590.41278569278</v>
      </c>
      <c r="J9" s="604">
        <f>' FOCO INCREMENTO'!J12+' FOCO ESTIMACION'!J12</f>
        <v>517849.37109243526</v>
      </c>
      <c r="K9" s="604">
        <f>' FOCO INCREMENTO'!K12+' FOCO ESTIMACION'!K12</f>
        <v>504244.46222912893</v>
      </c>
      <c r="L9" s="604">
        <f>' FOCO INCREMENTO'!L12+' FOCO ESTIMACION'!L12</f>
        <v>503968.26889874606</v>
      </c>
      <c r="M9" s="604">
        <f>' FOCO INCREMENTO'!M12+' FOCO ESTIMACION'!M12</f>
        <v>506242.90456632175</v>
      </c>
      <c r="N9" s="604">
        <f>' FOCO INCREMENTO'!N12+' FOCO ESTIMACION'!N12</f>
        <v>432524.41501007724</v>
      </c>
      <c r="O9" s="605">
        <f t="shared" si="0"/>
        <v>5889939.180547514</v>
      </c>
      <c r="P9" s="606"/>
    </row>
    <row r="10" spans="1:17" x14ac:dyDescent="0.2">
      <c r="A10" s="602" t="s">
        <v>152</v>
      </c>
      <c r="B10" s="614"/>
      <c r="C10" s="604">
        <f>' FOCO INCREMENTO'!C13+' FOCO ESTIMACION'!C13</f>
        <v>135403.13012902823</v>
      </c>
      <c r="D10" s="604">
        <f>' FOCO INCREMENTO'!D13+' FOCO ESTIMACION'!D13</f>
        <v>164915.93782791082</v>
      </c>
      <c r="E10" s="604">
        <f>' FOCO INCREMENTO'!E13+' FOCO ESTIMACION'!E13</f>
        <v>138045.2696540856</v>
      </c>
      <c r="F10" s="604">
        <f>' FOCO INCREMENTO'!F13+' FOCO ESTIMACION'!F13</f>
        <v>170640.10712542187</v>
      </c>
      <c r="G10" s="604">
        <f>' FOCO INCREMENTO'!G13+' FOCO ESTIMACION'!G13</f>
        <v>159840.44071051874</v>
      </c>
      <c r="H10" s="604">
        <f>' FOCO INCREMENTO'!H13+' FOCO ESTIMACION'!H13</f>
        <v>173688.9494993609</v>
      </c>
      <c r="I10" s="604">
        <f>' FOCO INCREMENTO'!I13+' FOCO ESTIMACION'!I13</f>
        <v>155962.75498354112</v>
      </c>
      <c r="J10" s="604">
        <f>' FOCO INCREMENTO'!J13+' FOCO ESTIMACION'!J13</f>
        <v>168727.52229755596</v>
      </c>
      <c r="K10" s="604">
        <f>' FOCO INCREMENTO'!K13+' FOCO ESTIMACION'!K13</f>
        <v>171881.06968802959</v>
      </c>
      <c r="L10" s="604">
        <f>' FOCO INCREMENTO'!L13+' FOCO ESTIMACION'!L13</f>
        <v>152219.05795403532</v>
      </c>
      <c r="M10" s="604">
        <f>' FOCO INCREMENTO'!M13+' FOCO ESTIMACION'!M13</f>
        <v>168916.98110011764</v>
      </c>
      <c r="N10" s="604">
        <f>' FOCO INCREMENTO'!N13+' FOCO ESTIMACION'!N13</f>
        <v>188390.91010133768</v>
      </c>
      <c r="O10" s="605">
        <f t="shared" si="0"/>
        <v>1948632.1310709433</v>
      </c>
      <c r="P10" s="606"/>
    </row>
    <row r="11" spans="1:17" x14ac:dyDescent="0.2">
      <c r="A11" s="602" t="s">
        <v>153</v>
      </c>
      <c r="B11" s="614"/>
      <c r="C11" s="604">
        <f>' FOCO INCREMENTO'!C14+' FOCO ESTIMACION'!C14</f>
        <v>170173.64742693494</v>
      </c>
      <c r="D11" s="604">
        <f>' FOCO INCREMENTO'!D14+' FOCO ESTIMACION'!D14</f>
        <v>193785.19831730312</v>
      </c>
      <c r="E11" s="604">
        <f>' FOCO INCREMENTO'!E14+' FOCO ESTIMACION'!E14</f>
        <v>181369.00809981558</v>
      </c>
      <c r="F11" s="604">
        <f>' FOCO INCREMENTO'!F14+' FOCO ESTIMACION'!F14</f>
        <v>204061.174538641</v>
      </c>
      <c r="G11" s="604">
        <f>' FOCO INCREMENTO'!G14+' FOCO ESTIMACION'!G14</f>
        <v>200263.56648626461</v>
      </c>
      <c r="H11" s="604">
        <f>' FOCO INCREMENTO'!H14+' FOCO ESTIMACION'!H14</f>
        <v>208233.2330677534</v>
      </c>
      <c r="I11" s="604">
        <f>' FOCO INCREMENTO'!I14+' FOCO ESTIMACION'!I14</f>
        <v>196914.27398494631</v>
      </c>
      <c r="J11" s="604">
        <f>' FOCO INCREMENTO'!J14+' FOCO ESTIMACION'!J14</f>
        <v>206409.07989188106</v>
      </c>
      <c r="K11" s="604">
        <f>' FOCO INCREMENTO'!K14+' FOCO ESTIMACION'!K14</f>
        <v>205503.48735317242</v>
      </c>
      <c r="L11" s="604">
        <f>' FOCO INCREMENTO'!L14+' FOCO ESTIMACION'!L14</f>
        <v>193739.5374832227</v>
      </c>
      <c r="M11" s="604">
        <f>' FOCO INCREMENTO'!M14+' FOCO ESTIMACION'!M14</f>
        <v>204147.4119681427</v>
      </c>
      <c r="N11" s="604">
        <f>' FOCO INCREMENTO'!N14+' FOCO ESTIMACION'!N14</f>
        <v>200661.36417316261</v>
      </c>
      <c r="O11" s="605">
        <f t="shared" si="0"/>
        <v>2365260.9827912403</v>
      </c>
      <c r="P11" s="606"/>
    </row>
    <row r="12" spans="1:17" x14ac:dyDescent="0.2">
      <c r="A12" s="602" t="s">
        <v>154</v>
      </c>
      <c r="B12" s="614"/>
      <c r="C12" s="604">
        <f>' FOCO INCREMENTO'!C15+' FOCO ESTIMACION'!C15</f>
        <v>149141.82056310645</v>
      </c>
      <c r="D12" s="604">
        <f>' FOCO INCREMENTO'!D15+' FOCO ESTIMACION'!D15</f>
        <v>173283.61249913031</v>
      </c>
      <c r="E12" s="604">
        <f>' FOCO INCREMENTO'!E15+' FOCO ESTIMACION'!E15</f>
        <v>156939.04575917791</v>
      </c>
      <c r="F12" s="604">
        <f>' FOCO INCREMENTO'!F15+' FOCO ESTIMACION'!F15</f>
        <v>181501.17714245903</v>
      </c>
      <c r="G12" s="604">
        <f>' FOCO INCREMENTO'!G15+' FOCO ESTIMACION'!G15</f>
        <v>175672.2153544607</v>
      </c>
      <c r="H12" s="604">
        <f>' FOCO INCREMENTO'!H15+' FOCO ESTIMACION'!H15</f>
        <v>185070.55563171068</v>
      </c>
      <c r="I12" s="604">
        <f>' FOCO INCREMENTO'!I15+' FOCO ESTIMACION'!I15</f>
        <v>172346.95784254785</v>
      </c>
      <c r="J12" s="604">
        <f>' FOCO INCREMENTO'!J15+' FOCO ESTIMACION'!J15</f>
        <v>182343.35420002381</v>
      </c>
      <c r="K12" s="604">
        <f>' FOCO INCREMENTO'!K15+' FOCO ESTIMACION'!K15</f>
        <v>182795.24639929197</v>
      </c>
      <c r="L12" s="604">
        <f>' FOCO INCREMENTO'!L15+' FOCO ESTIMACION'!L15</f>
        <v>169173.10705050611</v>
      </c>
      <c r="M12" s="604">
        <f>' FOCO INCREMENTO'!M15+' FOCO ESTIMACION'!M15</f>
        <v>181000.69385748939</v>
      </c>
      <c r="N12" s="604">
        <f>' FOCO INCREMENTO'!N15+' FOCO ESTIMACION'!N15</f>
        <v>185098.33527352079</v>
      </c>
      <c r="O12" s="605">
        <f t="shared" si="0"/>
        <v>2094366.1215734254</v>
      </c>
      <c r="P12" s="606"/>
    </row>
    <row r="13" spans="1:17" x14ac:dyDescent="0.2">
      <c r="A13" s="602" t="s">
        <v>155</v>
      </c>
      <c r="B13" s="614"/>
      <c r="C13" s="604">
        <f>' FOCO INCREMENTO'!C16+' FOCO ESTIMACION'!C16</f>
        <v>152130.9826000749</v>
      </c>
      <c r="D13" s="604">
        <f>' FOCO INCREMENTO'!D16+' FOCO ESTIMACION'!D16</f>
        <v>179867.54277054974</v>
      </c>
      <c r="E13" s="604">
        <f>' FOCO INCREMENTO'!E16+' FOCO ESTIMACION'!E16</f>
        <v>158267.1442128816</v>
      </c>
      <c r="F13" s="604">
        <f>' FOCO INCREMENTO'!F16+' FOCO ESTIMACION'!F16</f>
        <v>187538.56780745537</v>
      </c>
      <c r="G13" s="604">
        <f>' FOCO INCREMENTO'!G16+' FOCO ESTIMACION'!G16</f>
        <v>179336.82034014384</v>
      </c>
      <c r="H13" s="604">
        <f>' FOCO INCREMENTO'!H16+' FOCO ESTIMACION'!H16</f>
        <v>191100.95144447117</v>
      </c>
      <c r="I13" s="604">
        <f>' FOCO INCREMENTO'!I16+' FOCO ESTIMACION'!I16</f>
        <v>175593.17111246809</v>
      </c>
      <c r="J13" s="604">
        <f>' FOCO INCREMENTO'!J16+' FOCO ESTIMACION'!J16</f>
        <v>187301.03958489693</v>
      </c>
      <c r="K13" s="604">
        <f>' FOCO INCREMENTO'!K16+' FOCO ESTIMACION'!K16</f>
        <v>188885.64847400159</v>
      </c>
      <c r="L13" s="604">
        <f>' FOCO INCREMENTO'!L16+' FOCO ESTIMACION'!L16</f>
        <v>172002.54155076429</v>
      </c>
      <c r="M13" s="604">
        <f>' FOCO INCREMENTO'!M16+' FOCO ESTIMACION'!M16</f>
        <v>186508.36997967822</v>
      </c>
      <c r="N13" s="604">
        <f>' FOCO INCREMENTO'!N16+' FOCO ESTIMACION'!N16</f>
        <v>197140.93979175494</v>
      </c>
      <c r="O13" s="605">
        <f t="shared" si="0"/>
        <v>2155673.7196691404</v>
      </c>
      <c r="P13" s="606"/>
    </row>
    <row r="14" spans="1:17" x14ac:dyDescent="0.2">
      <c r="A14" s="602" t="s">
        <v>156</v>
      </c>
      <c r="B14" s="614"/>
      <c r="C14" s="604">
        <f>' FOCO INCREMENTO'!C17+' FOCO ESTIMACION'!C17</f>
        <v>308744.21159263013</v>
      </c>
      <c r="D14" s="604">
        <f>' FOCO INCREMENTO'!D17+' FOCO ESTIMACION'!D17</f>
        <v>333842.30560530198</v>
      </c>
      <c r="E14" s="604">
        <f>' FOCO INCREMENTO'!E17+' FOCO ESTIMACION'!E17</f>
        <v>339419.28544328635</v>
      </c>
      <c r="F14" s="604">
        <f>' FOCO INCREMENTO'!F17+' FOCO ESTIMACION'!F17</f>
        <v>356541.77149061277</v>
      </c>
      <c r="G14" s="604">
        <f>' FOCO INCREMENTO'!G17+' FOCO ESTIMACION'!G17</f>
        <v>362516.51565090299</v>
      </c>
      <c r="H14" s="604">
        <f>' FOCO INCREMENTO'!H17+' FOCO ESTIMACION'!H17</f>
        <v>364558.93464950379</v>
      </c>
      <c r="I14" s="604">
        <f>' FOCO INCREMENTO'!I17+' FOCO ESTIMACION'!I17</f>
        <v>358445.77427451726</v>
      </c>
      <c r="J14" s="604">
        <f>' FOCO INCREMENTO'!J17+' FOCO ESTIMACION'!J17</f>
        <v>367054.87084810116</v>
      </c>
      <c r="K14" s="604">
        <f>' FOCO INCREMENTO'!K17+' FOCO ESTIMACION'!K17</f>
        <v>359004.14693085646</v>
      </c>
      <c r="L14" s="604">
        <f>' FOCO INCREMENTO'!L17+' FOCO ESTIMACION'!L17</f>
        <v>354699.83475540305</v>
      </c>
      <c r="M14" s="604">
        <f>' FOCO INCREMENTO'!M17+' FOCO ESTIMACION'!M17</f>
        <v>359661.74926110113</v>
      </c>
      <c r="N14" s="604">
        <f>' FOCO INCREMENTO'!N17+' FOCO ESTIMACION'!N17</f>
        <v>316539.67361394851</v>
      </c>
      <c r="O14" s="605">
        <f t="shared" si="0"/>
        <v>4181029.0741161657</v>
      </c>
      <c r="P14" s="606"/>
    </row>
    <row r="15" spans="1:17" x14ac:dyDescent="0.2">
      <c r="A15" s="602" t="s">
        <v>157</v>
      </c>
      <c r="B15" s="614"/>
      <c r="C15" s="604">
        <f>' FOCO INCREMENTO'!C18+' FOCO ESTIMACION'!C18</f>
        <v>164831.58940273253</v>
      </c>
      <c r="D15" s="604">
        <f>' FOCO INCREMENTO'!D18+' FOCO ESTIMACION'!D18</f>
        <v>188234.86150961282</v>
      </c>
      <c r="E15" s="604">
        <f>' FOCO INCREMENTO'!E18+' FOCO ESTIMACION'!E18</f>
        <v>175364.17877453423</v>
      </c>
      <c r="F15" s="604">
        <f>' FOCO INCREMENTO'!F18+' FOCO ESTIMACION'!F18</f>
        <v>198066.41369763931</v>
      </c>
      <c r="G15" s="604">
        <f>' FOCO INCREMENTO'!G18+' FOCO ESTIMACION'!G18</f>
        <v>194001.55053765202</v>
      </c>
      <c r="H15" s="604">
        <f>' FOCO INCREMENTO'!H18+' FOCO ESTIMACION'!H18</f>
        <v>202094.05013233001</v>
      </c>
      <c r="I15" s="604">
        <f>' FOCO INCREMENTO'!I18+' FOCO ESTIMACION'!I18</f>
        <v>190697.14076899295</v>
      </c>
      <c r="J15" s="604">
        <f>' FOCO INCREMENTO'!J18+' FOCO ESTIMACION'!J18</f>
        <v>200152.75791871839</v>
      </c>
      <c r="K15" s="604">
        <f>' FOCO INCREMENTO'!K18+' FOCO ESTIMACION'!K18</f>
        <v>199468.08795704742</v>
      </c>
      <c r="L15" s="604">
        <f>' FOCO INCREMENTO'!L18+' FOCO ESTIMACION'!L18</f>
        <v>187561.56383563194</v>
      </c>
      <c r="M15" s="604">
        <f>' FOCO INCREMENTO'!M18+' FOCO ESTIMACION'!M18</f>
        <v>198060.91685565613</v>
      </c>
      <c r="N15" s="604">
        <f>' FOCO INCREMENTO'!N18+' FOCO ESTIMACION'!N18</f>
        <v>195789.73331685644</v>
      </c>
      <c r="O15" s="605">
        <f t="shared" si="0"/>
        <v>2294322.8447074043</v>
      </c>
      <c r="P15" s="606"/>
    </row>
    <row r="16" spans="1:17" x14ac:dyDescent="0.2">
      <c r="A16" s="602" t="s">
        <v>158</v>
      </c>
      <c r="B16" s="614"/>
      <c r="C16" s="604">
        <f>' FOCO INCREMENTO'!C19+' FOCO ESTIMACION'!C19</f>
        <v>213638.23323045645</v>
      </c>
      <c r="D16" s="604">
        <f>' FOCO INCREMENTO'!D19+' FOCO ESTIMACION'!D19</f>
        <v>240001.5788165117</v>
      </c>
      <c r="E16" s="604">
        <f>' FOCO INCREMENTO'!E19+' FOCO ESTIMACION'!E19</f>
        <v>229608.5159975753</v>
      </c>
      <c r="F16" s="604">
        <f>' FOCO INCREMENTO'!F19+' FOCO ESTIMACION'!F19</f>
        <v>253651.82263273568</v>
      </c>
      <c r="G16" s="604">
        <f>' FOCO INCREMENTO'!G19+' FOCO ESTIMACION'!G19</f>
        <v>251262.0425160274</v>
      </c>
      <c r="H16" s="604">
        <f>' FOCO INCREMENTO'!H19+' FOCO ESTIMACION'!H19</f>
        <v>258972.25457900096</v>
      </c>
      <c r="I16" s="604">
        <f>' FOCO INCREMENTO'!I19+' FOCO ESTIMACION'!I19</f>
        <v>247428.03740852611</v>
      </c>
      <c r="J16" s="604">
        <f>' FOCO INCREMENTO'!J19+' FOCO ESTIMACION'!J19</f>
        <v>257755.21685172198</v>
      </c>
      <c r="K16" s="604">
        <f>' FOCO INCREMENTO'!K19+' FOCO ESTIMACION'!K19</f>
        <v>255433.98382638663</v>
      </c>
      <c r="L16" s="604">
        <f>' FOCO INCREMENTO'!L19+' FOCO ESTIMACION'!L19</f>
        <v>243814.67057741064</v>
      </c>
      <c r="M16" s="604">
        <f>' FOCO INCREMENTO'!M19+' FOCO ESTIMACION'!M19</f>
        <v>254307.83416611719</v>
      </c>
      <c r="N16" s="604">
        <f>' FOCO INCREMENTO'!N19+' FOCO ESTIMACION'!N19</f>
        <v>243130.13394724386</v>
      </c>
      <c r="O16" s="605">
        <f t="shared" si="0"/>
        <v>2949004.3245497136</v>
      </c>
      <c r="P16" s="606"/>
    </row>
    <row r="17" spans="1:16" x14ac:dyDescent="0.2">
      <c r="A17" s="602" t="s">
        <v>285</v>
      </c>
      <c r="B17" s="614"/>
      <c r="C17" s="604">
        <f>' FOCO INCREMENTO'!C20+' FOCO ESTIMACION'!C20</f>
        <v>74866.754558418514</v>
      </c>
      <c r="D17" s="604">
        <f>' FOCO INCREMENTO'!D20+' FOCO ESTIMACION'!D20</f>
        <v>115818.32461595313</v>
      </c>
      <c r="E17" s="604">
        <f>' FOCO INCREMENTO'!E20+' FOCO ESTIMACION'!E20</f>
        <v>61937.220668153146</v>
      </c>
      <c r="F17" s="604">
        <f>' FOCO INCREMENTO'!F20+' FOCO ESTIMACION'!F20</f>
        <v>113351.43806376285</v>
      </c>
      <c r="G17" s="604">
        <f>' FOCO INCREMENTO'!G20+' FOCO ESTIMACION'!G20</f>
        <v>89516.522214825876</v>
      </c>
      <c r="H17" s="604">
        <f>' FOCO INCREMENTO'!H20+' FOCO ESTIMACION'!H20</f>
        <v>114415.33395530202</v>
      </c>
      <c r="I17" s="604">
        <f>' FOCO INCREMENTO'!I20+' FOCO ESTIMACION'!I20</f>
        <v>84587.2196083983</v>
      </c>
      <c r="J17" s="604">
        <f>' FOCO INCREMENTO'!J20+' FOCO ESTIMACION'!J20</f>
        <v>103610.73941200605</v>
      </c>
      <c r="K17" s="604">
        <f>' FOCO INCREMENTO'!K20+' FOCO ESTIMACION'!K20</f>
        <v>114251.97975843458</v>
      </c>
      <c r="L17" s="604">
        <f>' FOCO INCREMENTO'!L20+' FOCO ESTIMACION'!L20</f>
        <v>79720.74481281999</v>
      </c>
      <c r="M17" s="604">
        <f>' FOCO INCREMENTO'!M20+' FOCO ESTIMACION'!M20</f>
        <v>108283.62760226085</v>
      </c>
      <c r="N17" s="604">
        <f>' FOCO INCREMENTO'!N20+' FOCO ESTIMACION'!N20</f>
        <v>170146.98072877448</v>
      </c>
      <c r="O17" s="605">
        <f t="shared" si="0"/>
        <v>1230506.8859991098</v>
      </c>
      <c r="P17" s="606"/>
    </row>
    <row r="18" spans="1:16" x14ac:dyDescent="0.2">
      <c r="A18" s="602" t="s">
        <v>286</v>
      </c>
      <c r="B18" s="614"/>
      <c r="C18" s="604">
        <f>' FOCO INCREMENTO'!C21+' FOCO ESTIMACION'!C21</f>
        <v>146817.2036668575</v>
      </c>
      <c r="D18" s="604">
        <f>' FOCO INCREMENTO'!D21+' FOCO ESTIMACION'!D21</f>
        <v>170078.61686434058</v>
      </c>
      <c r="E18" s="604">
        <f>' FOCO INCREMENTO'!E21+' FOCO ESTIMACION'!E21</f>
        <v>154787.37699867264</v>
      </c>
      <c r="F18" s="604">
        <f>' FOCO INCREMENTO'!F21+' FOCO ESTIMACION'!F21</f>
        <v>178283.34627440624</v>
      </c>
      <c r="G18" s="604">
        <f>' FOCO INCREMENTO'!G21+' FOCO ESTIMACION'!G21</f>
        <v>172910.79262032485</v>
      </c>
      <c r="H18" s="604">
        <f>' FOCO INCREMENTO'!H21+' FOCO ESTIMACION'!H21</f>
        <v>181809.81579044738</v>
      </c>
      <c r="I18" s="604">
        <f>' FOCO INCREMENTO'!I21+' FOCO ESTIMACION'!I21</f>
        <v>169694.36127525225</v>
      </c>
      <c r="J18" s="604">
        <f>' FOCO INCREMENTO'!J21+' FOCO ESTIMACION'!J21</f>
        <v>179290.08656013806</v>
      </c>
      <c r="K18" s="604">
        <f>' FOCO INCREMENTO'!K21+' FOCO ESTIMACION'!K21</f>
        <v>179552.858125639</v>
      </c>
      <c r="L18" s="604">
        <f>' FOCO INCREMENTO'!L21+' FOCO ESTIMACION'!L21</f>
        <v>166627.20708788547</v>
      </c>
      <c r="M18" s="604">
        <f>' FOCO INCREMENTO'!M21+' FOCO ESTIMACION'!M21</f>
        <v>177874.87306899944</v>
      </c>
      <c r="N18" s="604">
        <f>' FOCO INCREMENTO'!N21+' FOCO ESTIMACION'!N21</f>
        <v>180863.03785424866</v>
      </c>
      <c r="O18" s="605">
        <f t="shared" si="0"/>
        <v>2058589.576187212</v>
      </c>
      <c r="P18" s="606"/>
    </row>
    <row r="19" spans="1:16" x14ac:dyDescent="0.2">
      <c r="A19" s="602" t="s">
        <v>287</v>
      </c>
      <c r="B19" s="614"/>
      <c r="C19" s="604">
        <f>' FOCO INCREMENTO'!C22+' FOCO ESTIMACION'!C22</f>
        <v>528353.45729929616</v>
      </c>
      <c r="D19" s="604">
        <f>' FOCO INCREMENTO'!D22+' FOCO ESTIMACION'!D22</f>
        <v>575790.0549623702</v>
      </c>
      <c r="E19" s="604">
        <f>' FOCO INCREMENTO'!E22+' FOCO ESTIMACION'!E22</f>
        <v>578226.85856014071</v>
      </c>
      <c r="F19" s="604">
        <f>' FOCO INCREMENTO'!F22+' FOCO ESTIMACION'!F22</f>
        <v>613609.92806075595</v>
      </c>
      <c r="G19" s="604">
        <f>' FOCO INCREMENTO'!G22+' FOCO ESTIMACION'!G22</f>
        <v>620581.15735538269</v>
      </c>
      <c r="H19" s="604">
        <f>' FOCO INCREMENTO'!H22+' FOCO ESTIMACION'!H22</f>
        <v>627216.43171429599</v>
      </c>
      <c r="I19" s="604">
        <f>' FOCO INCREMENTO'!I22+' FOCO ESTIMACION'!I22</f>
        <v>613107.64877797349</v>
      </c>
      <c r="J19" s="604">
        <f>' FOCO INCREMENTO'!J22+' FOCO ESTIMACION'!J22</f>
        <v>630019.58244640043</v>
      </c>
      <c r="K19" s="604">
        <f>' FOCO INCREMENTO'!K22+' FOCO ESTIMACION'!K22</f>
        <v>617862.83238590194</v>
      </c>
      <c r="L19" s="604">
        <f>' FOCO INCREMENTO'!L22+' FOCO ESTIMACION'!L22</f>
        <v>606187.92296285671</v>
      </c>
      <c r="M19" s="604">
        <f>' FOCO INCREMENTO'!M22+' FOCO ESTIMACION'!M22</f>
        <v>618199.70005698316</v>
      </c>
      <c r="N19" s="604">
        <f>' FOCO INCREMENTO'!N22+' FOCO ESTIMACION'!N22</f>
        <v>553710.61099521443</v>
      </c>
      <c r="O19" s="605">
        <f t="shared" si="0"/>
        <v>7182866.1855775714</v>
      </c>
      <c r="P19" s="606"/>
    </row>
    <row r="20" spans="1:16" x14ac:dyDescent="0.2">
      <c r="A20" s="602" t="s">
        <v>162</v>
      </c>
      <c r="B20" s="614"/>
      <c r="C20" s="604">
        <f>' FOCO INCREMENTO'!C23+' FOCO ESTIMACION'!C23</f>
        <v>280223.910880232</v>
      </c>
      <c r="D20" s="604">
        <f>' FOCO INCREMENTO'!D23+' FOCO ESTIMACION'!D23</f>
        <v>305891.07629161153</v>
      </c>
      <c r="E20" s="604">
        <f>' FOCO INCREMENTO'!E23+' FOCO ESTIMACION'!E23</f>
        <v>306378.53480768157</v>
      </c>
      <c r="F20" s="604">
        <f>' FOCO INCREMENTO'!F23+' FOCO ESTIMACION'!F23</f>
        <v>325833.51013326138</v>
      </c>
      <c r="G20" s="604">
        <f>' FOCO INCREMENTO'!G23+' FOCO ESTIMACION'!G23</f>
        <v>329162.37883511069</v>
      </c>
      <c r="H20" s="604">
        <f>' FOCO INCREMENTO'!H23+' FOCO ESTIMACION'!H23</f>
        <v>333037.19218759343</v>
      </c>
      <c r="I20" s="604">
        <f>' FOCO INCREMENTO'!I23+' FOCO ESTIMACION'!I23</f>
        <v>325141.1864374617</v>
      </c>
      <c r="J20" s="604">
        <f>' FOCO INCREMENTO'!J23+' FOCO ESTIMACION'!J23</f>
        <v>334357.62195264921</v>
      </c>
      <c r="K20" s="604">
        <f>' FOCO INCREMENTO'!K23+' FOCO ESTIMACION'!K23</f>
        <v>328093.5540666788</v>
      </c>
      <c r="L20" s="604">
        <f>' FOCO INCREMENTO'!L23+' FOCO ESTIMACION'!L23</f>
        <v>321413.47274522501</v>
      </c>
      <c r="M20" s="604">
        <f>' FOCO INCREMENTO'!M23+' FOCO ESTIMACION'!M23</f>
        <v>328182.91455779446</v>
      </c>
      <c r="N20" s="604">
        <f>' FOCO INCREMENTO'!N23+' FOCO ESTIMACION'!N23</f>
        <v>295033.67038063967</v>
      </c>
      <c r="O20" s="605">
        <f t="shared" si="0"/>
        <v>3812749.0232759397</v>
      </c>
      <c r="P20" s="606"/>
    </row>
    <row r="21" spans="1:16" x14ac:dyDescent="0.2">
      <c r="A21" s="602" t="s">
        <v>163</v>
      </c>
      <c r="B21" s="614"/>
      <c r="C21" s="604">
        <f>' FOCO INCREMENTO'!C24+' FOCO ESTIMACION'!C24</f>
        <v>1810470.7361346241</v>
      </c>
      <c r="D21" s="604">
        <f>' FOCO INCREMENTO'!D24+' FOCO ESTIMACION'!D24</f>
        <v>2008760.3562921742</v>
      </c>
      <c r="E21" s="604">
        <f>' FOCO INCREMENTO'!E24+' FOCO ESTIMACION'!E24</f>
        <v>1960488.4432937459</v>
      </c>
      <c r="F21" s="604">
        <f>' FOCO INCREMENTO'!F24+' FOCO ESTIMACION'!F24</f>
        <v>2130183.3739297888</v>
      </c>
      <c r="G21" s="604">
        <f>' FOCO INCREMENTO'!G24+' FOCO ESTIMACION'!G24</f>
        <v>2128151.8728458271</v>
      </c>
      <c r="H21" s="604">
        <f>' FOCO INCREMENTO'!H24+' FOCO ESTIMACION'!H24</f>
        <v>2175905.5042813746</v>
      </c>
      <c r="I21" s="604">
        <f>' FOCO INCREMENTO'!I24+' FOCO ESTIMACION'!I24</f>
        <v>2098501.6421480756</v>
      </c>
      <c r="J21" s="604">
        <f>' FOCO INCREMENTO'!J24+' FOCO ESTIMACION'!J24</f>
        <v>2173814.2056827266</v>
      </c>
      <c r="K21" s="604">
        <f>' FOCO INCREMENTO'!K24+' FOCO ESTIMACION'!K24</f>
        <v>2145067.5682619968</v>
      </c>
      <c r="L21" s="604">
        <f>' FOCO INCREMENTO'!L24+' FOCO ESTIMACION'!L24</f>
        <v>2070732.6857022473</v>
      </c>
      <c r="M21" s="604">
        <f>' FOCO INCREMENTO'!M24+' FOCO ESTIMACION'!M24</f>
        <v>2139940.0325344554</v>
      </c>
      <c r="N21" s="604">
        <f>' FOCO INCREMENTO'!N24+' FOCO ESTIMACION'!N24</f>
        <v>1993097.8573402683</v>
      </c>
      <c r="O21" s="605">
        <f t="shared" si="0"/>
        <v>24835114.2784473</v>
      </c>
      <c r="P21" s="606"/>
    </row>
    <row r="22" spans="1:16" x14ac:dyDescent="0.2">
      <c r="A22" s="602" t="s">
        <v>164</v>
      </c>
      <c r="B22" s="614"/>
      <c r="C22" s="604">
        <f>' FOCO INCREMENTO'!C25+' FOCO ESTIMACION'!C25</f>
        <v>173715.00168245801</v>
      </c>
      <c r="D22" s="604">
        <f>' FOCO INCREMENTO'!D25+' FOCO ESTIMACION'!D25</f>
        <v>197435.56039812748</v>
      </c>
      <c r="E22" s="604">
        <f>' FOCO INCREMENTO'!E25+' FOCO ESTIMACION'!E25</f>
        <v>185366.70517479003</v>
      </c>
      <c r="F22" s="604">
        <f>' FOCO INCREMENTO'!F25+' FOCO ESTIMACION'!F25</f>
        <v>208012.79884783929</v>
      </c>
      <c r="G22" s="604">
        <f>' FOCO INCREMENTO'!G25+' FOCO ESTIMACION'!G25</f>
        <v>204413.43612294921</v>
      </c>
      <c r="H22" s="604">
        <f>' FOCO INCREMENTO'!H25+' FOCO ESTIMACION'!H25</f>
        <v>212281.33131132822</v>
      </c>
      <c r="I22" s="604">
        <f>' FOCO INCREMENTO'!I25+' FOCO ESTIMACION'!I25</f>
        <v>201037.67623177997</v>
      </c>
      <c r="J22" s="604">
        <f>' FOCO INCREMENTO'!J25+' FOCO ESTIMACION'!J25</f>
        <v>210544.34321014042</v>
      </c>
      <c r="K22" s="604">
        <f>' FOCO INCREMENTO'!K25+' FOCO ESTIMACION'!K25</f>
        <v>209481.79879718868</v>
      </c>
      <c r="L22" s="604">
        <f>' FOCO INCREMENTO'!L25+' FOCO ESTIMACION'!L25</f>
        <v>197840.27961888071</v>
      </c>
      <c r="M22" s="604">
        <f>' FOCO INCREMENTO'!M25+' FOCO ESTIMACION'!M25</f>
        <v>208164.70395178601</v>
      </c>
      <c r="N22" s="604">
        <f>' FOCO INCREMENTO'!N25+' FOCO ESTIMACION'!N25</f>
        <v>203813.01250420552</v>
      </c>
      <c r="O22" s="605">
        <f t="shared" si="0"/>
        <v>2412106.6478514737</v>
      </c>
      <c r="P22" s="606"/>
    </row>
    <row r="23" spans="1:16" ht="13.5" thickBot="1" x14ac:dyDescent="0.25">
      <c r="A23" s="602" t="s">
        <v>165</v>
      </c>
      <c r="B23" s="615"/>
      <c r="C23" s="604">
        <f>' FOCO INCREMENTO'!C26+' FOCO ESTIMACION'!C26</f>
        <v>247968.72610785606</v>
      </c>
      <c r="D23" s="604">
        <f>' FOCO INCREMENTO'!D26+' FOCO ESTIMACION'!D26</f>
        <v>282425.47898988397</v>
      </c>
      <c r="E23" s="604">
        <f>' FOCO INCREMENTO'!E26+' FOCO ESTIMACION'!E26</f>
        <v>264252.17531196598</v>
      </c>
      <c r="F23" s="604">
        <f>' FOCO INCREMENTO'!F26+' FOCO ESTIMACION'!F26</f>
        <v>297387.43426933861</v>
      </c>
      <c r="G23" s="604">
        <f>' FOCO INCREMENTO'!G26+' FOCO ESTIMACION'!G26</f>
        <v>291816.64937679062</v>
      </c>
      <c r="H23" s="604">
        <f>' FOCO INCREMENTO'!H26+' FOCO ESTIMACION'!H26</f>
        <v>303465.46278067731</v>
      </c>
      <c r="I23" s="604">
        <f>' FOCO INCREMENTO'!I26+' FOCO ESTIMACION'!I26</f>
        <v>286930.44001474726</v>
      </c>
      <c r="J23" s="604">
        <f>' FOCO INCREMENTO'!J26+' FOCO ESTIMACION'!J26</f>
        <v>300790.65552648797</v>
      </c>
      <c r="K23" s="604">
        <f>' FOCO INCREMENTO'!K26+' FOCO ESTIMACION'!K26</f>
        <v>299489.54725726339</v>
      </c>
      <c r="L23" s="604">
        <f>' FOCO INCREMENTO'!L26+' FOCO ESTIMACION'!L26</f>
        <v>282298.56175201695</v>
      </c>
      <c r="M23" s="604">
        <f>' FOCO INCREMENTO'!M26+' FOCO ESTIMACION'!M26</f>
        <v>297504.5498012504</v>
      </c>
      <c r="N23" s="604">
        <f>' FOCO INCREMENTO'!N26+' FOCO ESTIMACION'!N26</f>
        <v>292530.95813584508</v>
      </c>
      <c r="O23" s="605">
        <f t="shared" si="0"/>
        <v>3446860.6393241235</v>
      </c>
      <c r="P23" s="606"/>
    </row>
    <row r="24" spans="1:16" ht="13.5" thickBot="1" x14ac:dyDescent="0.25">
      <c r="A24" s="607" t="s">
        <v>288</v>
      </c>
      <c r="B24" s="608">
        <f>SUM(B4:B23)</f>
        <v>0</v>
      </c>
      <c r="C24" s="609">
        <f>SUM(C4:C23)</f>
        <v>6324776.8512612237</v>
      </c>
      <c r="D24" s="609">
        <f t="shared" ref="D24:N24" si="1">SUM(D4:D23)</f>
        <v>7136395.864008964</v>
      </c>
      <c r="E24" s="609">
        <f t="shared" si="1"/>
        <v>6779392.6904163137</v>
      </c>
      <c r="F24" s="609">
        <f t="shared" si="1"/>
        <v>7533395.2224506177</v>
      </c>
      <c r="G24" s="609">
        <f t="shared" si="1"/>
        <v>7440070.779050489</v>
      </c>
      <c r="H24" s="609">
        <f t="shared" si="1"/>
        <v>7690121.1645082645</v>
      </c>
      <c r="I24" s="609">
        <f t="shared" si="1"/>
        <v>7323044.9249756224</v>
      </c>
      <c r="J24" s="609">
        <f t="shared" si="1"/>
        <v>7643903.2898072293</v>
      </c>
      <c r="K24" s="609">
        <f t="shared" si="1"/>
        <v>7586427.1801034883</v>
      </c>
      <c r="L24" s="609">
        <f t="shared" si="1"/>
        <v>7212536.8588936245</v>
      </c>
      <c r="M24" s="609">
        <f t="shared" si="1"/>
        <v>7547616.1531040575</v>
      </c>
      <c r="N24" s="609">
        <f t="shared" si="1"/>
        <v>7281271.0064201076</v>
      </c>
      <c r="O24" s="609">
        <f>SUM(C24:N24)</f>
        <v>87498951.984999999</v>
      </c>
    </row>
    <row r="25" spans="1:16" x14ac:dyDescent="0.2">
      <c r="A25" s="611" t="s">
        <v>289</v>
      </c>
      <c r="O25" s="606"/>
    </row>
  </sheetData>
  <mergeCells count="1">
    <mergeCell ref="A1:O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Q25"/>
  <sheetViews>
    <sheetView workbookViewId="0">
      <selection sqref="A1:O1"/>
    </sheetView>
  </sheetViews>
  <sheetFormatPr baseColWidth="10" defaultRowHeight="12.75" x14ac:dyDescent="0.2"/>
  <cols>
    <col min="1" max="1" width="16.5703125" style="597" customWidth="1"/>
    <col min="2" max="2" width="9.7109375" style="597" hidden="1" customWidth="1"/>
    <col min="3" max="10" width="9.7109375" style="597" customWidth="1"/>
    <col min="11" max="11" width="13" style="597" customWidth="1"/>
    <col min="12" max="15" width="9.7109375" style="597" customWidth="1"/>
    <col min="16" max="16" width="12.7109375" style="597" bestFit="1" customWidth="1"/>
    <col min="17" max="16384" width="11.42578125" style="597"/>
  </cols>
  <sheetData>
    <row r="1" spans="1:17" x14ac:dyDescent="0.2">
      <c r="A1" s="1255" t="s">
        <v>487</v>
      </c>
      <c r="B1" s="1255"/>
      <c r="C1" s="1255"/>
      <c r="D1" s="1255"/>
      <c r="E1" s="1255"/>
      <c r="F1" s="1255"/>
      <c r="G1" s="1255"/>
      <c r="H1" s="1255"/>
      <c r="I1" s="1255"/>
      <c r="J1" s="1255"/>
      <c r="K1" s="1255"/>
      <c r="L1" s="1255"/>
      <c r="M1" s="1255"/>
      <c r="N1" s="1255"/>
      <c r="O1" s="1255"/>
    </row>
    <row r="2" spans="1:17" ht="13.5" thickBot="1" x14ac:dyDescent="0.25"/>
    <row r="3" spans="1:17" ht="23.25" thickBot="1" x14ac:dyDescent="0.25">
      <c r="A3" s="897" t="s">
        <v>343</v>
      </c>
      <c r="B3" s="899" t="s">
        <v>281</v>
      </c>
      <c r="C3" s="897" t="s">
        <v>1</v>
      </c>
      <c r="D3" s="899" t="s">
        <v>2</v>
      </c>
      <c r="E3" s="897" t="s">
        <v>3</v>
      </c>
      <c r="F3" s="899" t="s">
        <v>4</v>
      </c>
      <c r="G3" s="897" t="s">
        <v>5</v>
      </c>
      <c r="H3" s="897" t="s">
        <v>6</v>
      </c>
      <c r="I3" s="897" t="s">
        <v>7</v>
      </c>
      <c r="J3" s="899" t="s">
        <v>8</v>
      </c>
      <c r="K3" s="897" t="s">
        <v>9</v>
      </c>
      <c r="L3" s="899" t="s">
        <v>10</v>
      </c>
      <c r="M3" s="897" t="s">
        <v>11</v>
      </c>
      <c r="N3" s="897" t="s">
        <v>12</v>
      </c>
      <c r="O3" s="900" t="s">
        <v>168</v>
      </c>
    </row>
    <row r="4" spans="1:17" x14ac:dyDescent="0.2">
      <c r="A4" s="602" t="s">
        <v>282</v>
      </c>
      <c r="B4" s="603">
        <f>FGP!U8</f>
        <v>3.7409604047338894</v>
      </c>
      <c r="C4" s="604">
        <f>$C$24*B4/100</f>
        <v>41087.546876900466</v>
      </c>
      <c r="D4" s="604">
        <f>$D$24*B4/100</f>
        <v>47549.384595306517</v>
      </c>
      <c r="E4" s="604">
        <f>$E$24*B4/100</f>
        <v>37998.768616670888</v>
      </c>
      <c r="F4" s="604">
        <f>$F$24*B4/100</f>
        <v>34711.665207331796</v>
      </c>
      <c r="G4" s="604">
        <f>$G$24*B4/100</f>
        <v>37206.031970024429</v>
      </c>
      <c r="H4" s="604">
        <f>$H$24*B4/100</f>
        <v>31320.0206575148</v>
      </c>
      <c r="I4" s="604">
        <f>$I$24*B4/100</f>
        <v>34130.90634504889</v>
      </c>
      <c r="J4" s="604">
        <f>$J$24*B4/100</f>
        <v>36346.505150294855</v>
      </c>
      <c r="K4" s="604">
        <f>$K$24*B4/100</f>
        <v>35298.231910752373</v>
      </c>
      <c r="L4" s="604">
        <f>$L$24*B4/100</f>
        <v>36398.775720533798</v>
      </c>
      <c r="M4" s="604">
        <f>$M$24*B4/100</f>
        <v>36477.181575892231</v>
      </c>
      <c r="N4" s="604">
        <f>$N$24*B4/100</f>
        <v>38686.972540000526</v>
      </c>
      <c r="O4" s="605">
        <f>SUM(C4:N4)</f>
        <v>447211.99116627156</v>
      </c>
      <c r="P4" s="606"/>
      <c r="Q4" s="606"/>
    </row>
    <row r="5" spans="1:17" x14ac:dyDescent="0.2">
      <c r="A5" s="602" t="s">
        <v>147</v>
      </c>
      <c r="B5" s="603">
        <f>FGP!U9</f>
        <v>3.1434770533559684</v>
      </c>
      <c r="C5" s="604">
        <f t="shared" ref="C5:C23" si="0">$C$24*B5/100</f>
        <v>34525.29479402813</v>
      </c>
      <c r="D5" s="604">
        <f t="shared" ref="D5:D23" si="1">$D$24*B5/100</f>
        <v>39955.087251765843</v>
      </c>
      <c r="E5" s="604">
        <f t="shared" ref="E5:E23" si="2">$E$24*B5/100</f>
        <v>31929.837335657317</v>
      </c>
      <c r="F5" s="604">
        <f t="shared" ref="F5:F23" si="3">$F$24*B5/100</f>
        <v>29167.730009904797</v>
      </c>
      <c r="G5" s="604">
        <f t="shared" ref="G5:G23" si="4">$G$24*B5/100</f>
        <v>31263.711745305132</v>
      </c>
      <c r="H5" s="604">
        <f t="shared" ref="H5:H23" si="5">$H$24*B5/100</f>
        <v>26317.778216242874</v>
      </c>
      <c r="I5" s="604">
        <f t="shared" ref="I5:I23" si="6">$I$24*B5/100</f>
        <v>28679.726406656471</v>
      </c>
      <c r="J5" s="604">
        <f t="shared" ref="J5:J23" si="7">$J$24*B5/100</f>
        <v>30541.463300455278</v>
      </c>
      <c r="K5" s="604">
        <f t="shared" ref="K5:K23" si="8">$K$24*B5/100</f>
        <v>29660.613861370304</v>
      </c>
      <c r="L5" s="604">
        <f t="shared" ref="L5:L23" si="9">$L$24*B5/100</f>
        <v>30585.385534409968</v>
      </c>
      <c r="M5" s="604">
        <f t="shared" ref="M5:M23" si="10">$M$24*B5/100</f>
        <v>30651.268885342008</v>
      </c>
      <c r="N5" s="604">
        <f t="shared" ref="N5:N23" si="11">$N$24*B5/100</f>
        <v>32508.125530923622</v>
      </c>
      <c r="O5" s="605">
        <f t="shared" ref="O5:O23" si="12">SUM(C5:N5)</f>
        <v>375786.0228720617</v>
      </c>
      <c r="P5" s="606"/>
    </row>
    <row r="6" spans="1:17" x14ac:dyDescent="0.2">
      <c r="A6" s="602" t="s">
        <v>148</v>
      </c>
      <c r="B6" s="603">
        <f>FGP!U10</f>
        <v>2.6603597159645074</v>
      </c>
      <c r="C6" s="604">
        <f t="shared" si="0"/>
        <v>29219.142335959805</v>
      </c>
      <c r="D6" s="604">
        <f t="shared" si="1"/>
        <v>33814.436297209395</v>
      </c>
      <c r="E6" s="604">
        <f t="shared" si="2"/>
        <v>27022.577719915374</v>
      </c>
      <c r="F6" s="604">
        <f t="shared" si="3"/>
        <v>24684.97546105443</v>
      </c>
      <c r="G6" s="604">
        <f t="shared" si="4"/>
        <v>26458.828197883995</v>
      </c>
      <c r="H6" s="604">
        <f t="shared" si="5"/>
        <v>22273.02944853159</v>
      </c>
      <c r="I6" s="604">
        <f t="shared" si="6"/>
        <v>24271.972564805721</v>
      </c>
      <c r="J6" s="604">
        <f t="shared" si="7"/>
        <v>25847.58127767975</v>
      </c>
      <c r="K6" s="604">
        <f t="shared" si="8"/>
        <v>25102.108565839906</v>
      </c>
      <c r="L6" s="604">
        <f t="shared" si="9"/>
        <v>25884.753154510683</v>
      </c>
      <c r="M6" s="604">
        <f t="shared" si="10"/>
        <v>25940.510969757099</v>
      </c>
      <c r="N6" s="604">
        <f t="shared" si="11"/>
        <v>27511.989474094353</v>
      </c>
      <c r="O6" s="605">
        <f t="shared" si="12"/>
        <v>318031.90546724212</v>
      </c>
      <c r="P6" s="606"/>
    </row>
    <row r="7" spans="1:17" x14ac:dyDescent="0.2">
      <c r="A7" s="602" t="s">
        <v>283</v>
      </c>
      <c r="B7" s="603">
        <f>FGP!U11</f>
        <v>10.664297612988729</v>
      </c>
      <c r="C7" s="604">
        <f t="shared" si="0"/>
        <v>117127.63052194375</v>
      </c>
      <c r="D7" s="604">
        <f t="shared" si="1"/>
        <v>135548.29075366308</v>
      </c>
      <c r="E7" s="604">
        <f t="shared" si="2"/>
        <v>108322.4983997392</v>
      </c>
      <c r="F7" s="604">
        <f t="shared" si="3"/>
        <v>98952.00386108995</v>
      </c>
      <c r="G7" s="604">
        <f t="shared" si="4"/>
        <v>106062.65637685578</v>
      </c>
      <c r="H7" s="604">
        <f t="shared" si="5"/>
        <v>89283.495520036668</v>
      </c>
      <c r="I7" s="604">
        <f t="shared" si="6"/>
        <v>97296.443609522335</v>
      </c>
      <c r="J7" s="604">
        <f t="shared" si="7"/>
        <v>103612.41664688091</v>
      </c>
      <c r="K7" s="604">
        <f t="shared" si="8"/>
        <v>100624.12043501332</v>
      </c>
      <c r="L7" s="604">
        <f t="shared" si="9"/>
        <v>103761.42354808289</v>
      </c>
      <c r="M7" s="604">
        <f t="shared" si="10"/>
        <v>103984.93389988592</v>
      </c>
      <c r="N7" s="604">
        <f t="shared" si="11"/>
        <v>110284.35061488868</v>
      </c>
      <c r="O7" s="605">
        <f t="shared" si="12"/>
        <v>1274860.2641876023</v>
      </c>
      <c r="P7" s="606"/>
    </row>
    <row r="8" spans="1:17" x14ac:dyDescent="0.2">
      <c r="A8" s="602" t="s">
        <v>150</v>
      </c>
      <c r="B8" s="603">
        <f>FGP!U12</f>
        <v>6.2620312493312147</v>
      </c>
      <c r="C8" s="604">
        <f t="shared" si="0"/>
        <v>68776.857989710305</v>
      </c>
      <c r="D8" s="604">
        <f t="shared" si="1"/>
        <v>79593.393141903172</v>
      </c>
      <c r="E8" s="604">
        <f t="shared" si="2"/>
        <v>63606.520991933809</v>
      </c>
      <c r="F8" s="604">
        <f t="shared" si="3"/>
        <v>58104.20553224138</v>
      </c>
      <c r="G8" s="604">
        <f t="shared" si="4"/>
        <v>62279.551145498539</v>
      </c>
      <c r="H8" s="604">
        <f t="shared" si="5"/>
        <v>52426.897605992759</v>
      </c>
      <c r="I8" s="604">
        <f t="shared" si="6"/>
        <v>57132.067431196629</v>
      </c>
      <c r="J8" s="604">
        <f t="shared" si="7"/>
        <v>60840.780556541264</v>
      </c>
      <c r="K8" s="604">
        <f t="shared" si="8"/>
        <v>59086.065436983692</v>
      </c>
      <c r="L8" s="604">
        <f t="shared" si="9"/>
        <v>60928.276789819327</v>
      </c>
      <c r="M8" s="604">
        <f t="shared" si="10"/>
        <v>61059.521139736455</v>
      </c>
      <c r="N8" s="604">
        <f t="shared" si="11"/>
        <v>64758.512461383521</v>
      </c>
      <c r="O8" s="605">
        <f t="shared" si="12"/>
        <v>748592.65022294072</v>
      </c>
      <c r="P8" s="606"/>
    </row>
    <row r="9" spans="1:17" x14ac:dyDescent="0.2">
      <c r="A9" s="602" t="s">
        <v>284</v>
      </c>
      <c r="B9" s="603">
        <f>FGP!U13</f>
        <v>4.4840019348333104</v>
      </c>
      <c r="C9" s="604">
        <f t="shared" si="0"/>
        <v>49248.486955499218</v>
      </c>
      <c r="D9" s="604">
        <f t="shared" si="1"/>
        <v>56993.795565354107</v>
      </c>
      <c r="E9" s="604">
        <f t="shared" si="2"/>
        <v>45546.205670293879</v>
      </c>
      <c r="F9" s="604">
        <f t="shared" si="3"/>
        <v>41606.207260040152</v>
      </c>
      <c r="G9" s="604">
        <f t="shared" si="4"/>
        <v>44596.013133404711</v>
      </c>
      <c r="H9" s="604">
        <f t="shared" si="5"/>
        <v>37540.903413359076</v>
      </c>
      <c r="I9" s="604">
        <f t="shared" si="6"/>
        <v>40910.09621356854</v>
      </c>
      <c r="J9" s="604">
        <f t="shared" si="7"/>
        <v>43565.76434546474</v>
      </c>
      <c r="K9" s="604">
        <f t="shared" si="8"/>
        <v>42309.279719646613</v>
      </c>
      <c r="L9" s="604">
        <f t="shared" si="9"/>
        <v>43628.417063678404</v>
      </c>
      <c r="M9" s="604">
        <f t="shared" si="10"/>
        <v>43722.396140998906</v>
      </c>
      <c r="N9" s="604">
        <f t="shared" si="11"/>
        <v>46371.102859760256</v>
      </c>
      <c r="O9" s="605">
        <f t="shared" si="12"/>
        <v>536038.66834106867</v>
      </c>
      <c r="P9" s="606"/>
    </row>
    <row r="10" spans="1:17" x14ac:dyDescent="0.2">
      <c r="A10" s="602" t="s">
        <v>152</v>
      </c>
      <c r="B10" s="603">
        <f>FGP!U14</f>
        <v>2.8247488936015976</v>
      </c>
      <c r="C10" s="604">
        <f t="shared" si="0"/>
        <v>31024.654106058191</v>
      </c>
      <c r="D10" s="604">
        <f t="shared" si="1"/>
        <v>35903.900869162862</v>
      </c>
      <c r="E10" s="604">
        <f t="shared" si="2"/>
        <v>28692.359179299987</v>
      </c>
      <c r="F10" s="604">
        <f t="shared" si="3"/>
        <v>26210.311599503399</v>
      </c>
      <c r="G10" s="604">
        <f t="shared" si="4"/>
        <v>28093.774398050122</v>
      </c>
      <c r="H10" s="604">
        <f t="shared" si="5"/>
        <v>23649.326410389378</v>
      </c>
      <c r="I10" s="604">
        <f t="shared" si="6"/>
        <v>25771.788392573148</v>
      </c>
      <c r="J10" s="604">
        <f t="shared" si="7"/>
        <v>27444.757255291912</v>
      </c>
      <c r="K10" s="604">
        <f t="shared" si="8"/>
        <v>26653.220229173494</v>
      </c>
      <c r="L10" s="604">
        <f t="shared" si="9"/>
        <v>27484.226059950612</v>
      </c>
      <c r="M10" s="604">
        <f t="shared" si="10"/>
        <v>27543.429266938674</v>
      </c>
      <c r="N10" s="604">
        <f t="shared" si="11"/>
        <v>29212.012706917576</v>
      </c>
      <c r="O10" s="605">
        <f t="shared" si="12"/>
        <v>337683.76047330938</v>
      </c>
      <c r="P10" s="606"/>
    </row>
    <row r="11" spans="1:17" x14ac:dyDescent="0.2">
      <c r="A11" s="602" t="s">
        <v>153</v>
      </c>
      <c r="B11" s="603">
        <f>FGP!U15</f>
        <v>3.2830833450623955</v>
      </c>
      <c r="C11" s="604">
        <f t="shared" si="0"/>
        <v>36058.612293871083</v>
      </c>
      <c r="D11" s="604">
        <f t="shared" si="1"/>
        <v>41729.549565740977</v>
      </c>
      <c r="E11" s="604">
        <f t="shared" si="2"/>
        <v>33347.886874292133</v>
      </c>
      <c r="F11" s="604">
        <f t="shared" si="3"/>
        <v>30463.11042944049</v>
      </c>
      <c r="G11" s="604">
        <f t="shared" si="4"/>
        <v>32652.177698024931</v>
      </c>
      <c r="H11" s="604">
        <f t="shared" si="5"/>
        <v>27486.588218784287</v>
      </c>
      <c r="I11" s="604">
        <f t="shared" si="6"/>
        <v>29953.433891339297</v>
      </c>
      <c r="J11" s="604">
        <f t="shared" si="7"/>
        <v>31897.853171382601</v>
      </c>
      <c r="K11" s="604">
        <f t="shared" si="8"/>
        <v>30977.883954530818</v>
      </c>
      <c r="L11" s="604">
        <f t="shared" si="9"/>
        <v>31943.726054284871</v>
      </c>
      <c r="M11" s="604">
        <f t="shared" si="10"/>
        <v>32012.535378638288</v>
      </c>
      <c r="N11" s="604">
        <f t="shared" si="11"/>
        <v>33951.857671692444</v>
      </c>
      <c r="O11" s="605">
        <f t="shared" si="12"/>
        <v>392475.21520202223</v>
      </c>
      <c r="P11" s="606"/>
    </row>
    <row r="12" spans="1:17" x14ac:dyDescent="0.2">
      <c r="A12" s="602" t="s">
        <v>154</v>
      </c>
      <c r="B12" s="603">
        <f>FGP!U16</f>
        <v>3.2145773533348407</v>
      </c>
      <c r="C12" s="604">
        <f t="shared" si="0"/>
        <v>35306.200388390178</v>
      </c>
      <c r="D12" s="604">
        <f t="shared" si="1"/>
        <v>40858.805854149061</v>
      </c>
      <c r="E12" s="604">
        <f t="shared" si="2"/>
        <v>32652.037935282548</v>
      </c>
      <c r="F12" s="604">
        <f t="shared" si="3"/>
        <v>29827.456267869034</v>
      </c>
      <c r="G12" s="604">
        <f t="shared" si="4"/>
        <v>31970.845675604087</v>
      </c>
      <c r="H12" s="604">
        <f t="shared" si="5"/>
        <v>26913.043234625817</v>
      </c>
      <c r="I12" s="604">
        <f t="shared" si="6"/>
        <v>29328.414822768271</v>
      </c>
      <c r="J12" s="604">
        <f t="shared" si="7"/>
        <v>31232.261154423322</v>
      </c>
      <c r="K12" s="604">
        <f t="shared" si="8"/>
        <v>30331.488344404781</v>
      </c>
      <c r="L12" s="604">
        <f t="shared" si="9"/>
        <v>31277.176837338164</v>
      </c>
      <c r="M12" s="604">
        <f t="shared" si="10"/>
        <v>31344.550361710433</v>
      </c>
      <c r="N12" s="604">
        <f t="shared" si="11"/>
        <v>33243.406061930502</v>
      </c>
      <c r="O12" s="605">
        <f t="shared" si="12"/>
        <v>384285.68693849619</v>
      </c>
      <c r="P12" s="606"/>
    </row>
    <row r="13" spans="1:17" x14ac:dyDescent="0.2">
      <c r="A13" s="602" t="s">
        <v>155</v>
      </c>
      <c r="B13" s="603">
        <f>FGP!U17</f>
        <v>2.8913882559426334</v>
      </c>
      <c r="C13" s="604">
        <f t="shared" si="0"/>
        <v>31756.564532206856</v>
      </c>
      <c r="D13" s="604">
        <f t="shared" si="1"/>
        <v>36750.918834156611</v>
      </c>
      <c r="E13" s="604">
        <f t="shared" si="2"/>
        <v>29369.247848625433</v>
      </c>
      <c r="F13" s="604">
        <f t="shared" si="3"/>
        <v>26828.645659464306</v>
      </c>
      <c r="G13" s="604">
        <f t="shared" si="4"/>
        <v>28756.541703094343</v>
      </c>
      <c r="H13" s="604">
        <f t="shared" si="5"/>
        <v>24207.243623970076</v>
      </c>
      <c r="I13" s="604">
        <f t="shared" si="6"/>
        <v>26379.777141151597</v>
      </c>
      <c r="J13" s="604">
        <f t="shared" si="7"/>
        <v>28092.213433517114</v>
      </c>
      <c r="K13" s="604">
        <f t="shared" si="8"/>
        <v>27282.003058128845</v>
      </c>
      <c r="L13" s="604">
        <f t="shared" si="9"/>
        <v>28132.613356683651</v>
      </c>
      <c r="M13" s="604">
        <f t="shared" si="10"/>
        <v>28193.213241433463</v>
      </c>
      <c r="N13" s="604">
        <f t="shared" si="11"/>
        <v>29901.160653447147</v>
      </c>
      <c r="O13" s="605">
        <f t="shared" si="12"/>
        <v>345650.14308587939</v>
      </c>
      <c r="P13" s="606"/>
    </row>
    <row r="14" spans="1:17" x14ac:dyDescent="0.2">
      <c r="A14" s="602" t="s">
        <v>156</v>
      </c>
      <c r="B14" s="603">
        <f>FGP!U18</f>
        <v>3.6079378597382386</v>
      </c>
      <c r="C14" s="604">
        <f t="shared" si="0"/>
        <v>39626.539685731812</v>
      </c>
      <c r="D14" s="604">
        <f t="shared" si="1"/>
        <v>45858.60483088006</v>
      </c>
      <c r="E14" s="604">
        <f t="shared" si="2"/>
        <v>36647.59342067199</v>
      </c>
      <c r="F14" s="604">
        <f t="shared" si="3"/>
        <v>33477.37413034706</v>
      </c>
      <c r="G14" s="604">
        <f t="shared" si="4"/>
        <v>35883.045216254104</v>
      </c>
      <c r="H14" s="604">
        <f t="shared" si="5"/>
        <v>30206.331014634088</v>
      </c>
      <c r="I14" s="604">
        <f t="shared" si="6"/>
        <v>32917.266120661225</v>
      </c>
      <c r="J14" s="604">
        <f t="shared" si="7"/>
        <v>35054.081790060533</v>
      </c>
      <c r="K14" s="604">
        <f t="shared" si="8"/>
        <v>34043.083463665556</v>
      </c>
      <c r="L14" s="604">
        <f t="shared" si="9"/>
        <v>35104.493702754538</v>
      </c>
      <c r="M14" s="604">
        <f t="shared" si="10"/>
        <v>35180.111571795562</v>
      </c>
      <c r="N14" s="604">
        <f t="shared" si="11"/>
        <v>37311.325917562193</v>
      </c>
      <c r="O14" s="605">
        <f t="shared" si="12"/>
        <v>431309.85086501867</v>
      </c>
      <c r="P14" s="606"/>
    </row>
    <row r="15" spans="1:17" x14ac:dyDescent="0.2">
      <c r="A15" s="602" t="s">
        <v>157</v>
      </c>
      <c r="B15" s="603">
        <f>FGP!U19</f>
        <v>3.0024932576536294</v>
      </c>
      <c r="C15" s="604">
        <f t="shared" si="0"/>
        <v>32976.84795468895</v>
      </c>
      <c r="D15" s="604">
        <f t="shared" si="1"/>
        <v>38163.116207358733</v>
      </c>
      <c r="E15" s="604">
        <f t="shared" si="2"/>
        <v>30497.795813695724</v>
      </c>
      <c r="F15" s="604">
        <f t="shared" si="3"/>
        <v>27859.567990898726</v>
      </c>
      <c r="G15" s="604">
        <f t="shared" si="4"/>
        <v>29861.545712347681</v>
      </c>
      <c r="H15" s="604">
        <f t="shared" si="5"/>
        <v>25137.43549243738</v>
      </c>
      <c r="I15" s="604">
        <f t="shared" si="6"/>
        <v>27393.451170704509</v>
      </c>
      <c r="J15" s="604">
        <f t="shared" si="7"/>
        <v>29171.68984599187</v>
      </c>
      <c r="K15" s="604">
        <f t="shared" si="8"/>
        <v>28330.346181963178</v>
      </c>
      <c r="L15" s="604">
        <f t="shared" si="9"/>
        <v>29213.642183824028</v>
      </c>
      <c r="M15" s="604">
        <f t="shared" si="10"/>
        <v>29276.57069057228</v>
      </c>
      <c r="N15" s="604">
        <f t="shared" si="11"/>
        <v>31050.147994989395</v>
      </c>
      <c r="O15" s="605">
        <f t="shared" si="12"/>
        <v>358932.15723947249</v>
      </c>
      <c r="P15" s="606"/>
    </row>
    <row r="16" spans="1:17" x14ac:dyDescent="0.2">
      <c r="A16" s="602" t="s">
        <v>158</v>
      </c>
      <c r="B16" s="603">
        <f>FGP!U20</f>
        <v>4.0688979500675648</v>
      </c>
      <c r="C16" s="604">
        <f t="shared" si="0"/>
        <v>44689.335671441731</v>
      </c>
      <c r="D16" s="604">
        <f t="shared" si="1"/>
        <v>51717.626645283766</v>
      </c>
      <c r="E16" s="604">
        <f t="shared" si="2"/>
        <v>41329.791016716787</v>
      </c>
      <c r="F16" s="604">
        <f t="shared" si="3"/>
        <v>37754.535767558024</v>
      </c>
      <c r="G16" s="604">
        <f t="shared" si="4"/>
        <v>40467.562025358973</v>
      </c>
      <c r="H16" s="604">
        <f t="shared" si="5"/>
        <v>34065.575163044523</v>
      </c>
      <c r="I16" s="604">
        <f t="shared" si="6"/>
        <v>37122.866813982291</v>
      </c>
      <c r="J16" s="604">
        <f t="shared" si="7"/>
        <v>39532.687945857855</v>
      </c>
      <c r="K16" s="604">
        <f t="shared" si="8"/>
        <v>38392.521685320127</v>
      </c>
      <c r="L16" s="604">
        <f t="shared" si="9"/>
        <v>39589.540623535213</v>
      </c>
      <c r="M16" s="604">
        <f t="shared" si="10"/>
        <v>39674.819640051261</v>
      </c>
      <c r="N16" s="604">
        <f t="shared" si="11"/>
        <v>42078.323807740438</v>
      </c>
      <c r="O16" s="605">
        <f t="shared" si="12"/>
        <v>486415.18680589099</v>
      </c>
      <c r="P16" s="606"/>
    </row>
    <row r="17" spans="1:16" x14ac:dyDescent="0.2">
      <c r="A17" s="602" t="s">
        <v>285</v>
      </c>
      <c r="B17" s="603">
        <f>FGP!U21</f>
        <v>2.7439260574816893</v>
      </c>
      <c r="C17" s="604">
        <f t="shared" si="0"/>
        <v>30136.964393117483</v>
      </c>
      <c r="D17" s="604">
        <f t="shared" si="1"/>
        <v>34876.604211896498</v>
      </c>
      <c r="E17" s="604">
        <f t="shared" si="2"/>
        <v>27871.402014188803</v>
      </c>
      <c r="F17" s="604">
        <f t="shared" si="3"/>
        <v>25460.371764547868</v>
      </c>
      <c r="G17" s="604">
        <f t="shared" si="4"/>
        <v>27289.944178200665</v>
      </c>
      <c r="H17" s="604">
        <f t="shared" si="5"/>
        <v>22972.662499787384</v>
      </c>
      <c r="I17" s="604">
        <f t="shared" si="6"/>
        <v>25034.39575760725</v>
      </c>
      <c r="J17" s="604">
        <f t="shared" si="7"/>
        <v>26659.496971441713</v>
      </c>
      <c r="K17" s="604">
        <f t="shared" si="8"/>
        <v>25890.607716772894</v>
      </c>
      <c r="L17" s="604">
        <f t="shared" si="9"/>
        <v>26697.836479001475</v>
      </c>
      <c r="M17" s="604">
        <f t="shared" si="10"/>
        <v>26755.345740341127</v>
      </c>
      <c r="N17" s="604">
        <f t="shared" si="11"/>
        <v>28376.187008891167</v>
      </c>
      <c r="O17" s="605">
        <f t="shared" si="12"/>
        <v>328021.81873579428</v>
      </c>
      <c r="P17" s="606"/>
    </row>
    <row r="18" spans="1:16" x14ac:dyDescent="0.2">
      <c r="A18" s="602" t="s">
        <v>286</v>
      </c>
      <c r="B18" s="603">
        <f>FGP!U22</f>
        <v>3.3920972600975436</v>
      </c>
      <c r="C18" s="604">
        <f t="shared" si="0"/>
        <v>37255.928987887179</v>
      </c>
      <c r="D18" s="604">
        <f t="shared" si="1"/>
        <v>43115.16823352666</v>
      </c>
      <c r="E18" s="604">
        <f t="shared" si="2"/>
        <v>34455.194646963588</v>
      </c>
      <c r="F18" s="604">
        <f t="shared" si="3"/>
        <v>31474.629962459916</v>
      </c>
      <c r="G18" s="604">
        <f t="shared" si="4"/>
        <v>33736.384631314773</v>
      </c>
      <c r="H18" s="604">
        <f t="shared" si="5"/>
        <v>28399.273118238678</v>
      </c>
      <c r="I18" s="604">
        <f t="shared" si="6"/>
        <v>30948.029749574911</v>
      </c>
      <c r="J18" s="604">
        <f t="shared" si="7"/>
        <v>32957.012958068626</v>
      </c>
      <c r="K18" s="604">
        <f t="shared" si="8"/>
        <v>32006.496406440328</v>
      </c>
      <c r="L18" s="604">
        <f t="shared" si="9"/>
        <v>33004.409037927391</v>
      </c>
      <c r="M18" s="604">
        <f t="shared" si="10"/>
        <v>33075.503157715553</v>
      </c>
      <c r="N18" s="604">
        <f t="shared" si="11"/>
        <v>35079.22013511385</v>
      </c>
      <c r="O18" s="605">
        <f t="shared" si="12"/>
        <v>405507.25102523144</v>
      </c>
      <c r="P18" s="606"/>
    </row>
    <row r="19" spans="1:16" x14ac:dyDescent="0.2">
      <c r="A19" s="602" t="s">
        <v>287</v>
      </c>
      <c r="B19" s="603">
        <f>FGP!U23</f>
        <v>6.3503751777162254</v>
      </c>
      <c r="C19" s="604">
        <f t="shared" si="0"/>
        <v>69747.153022562139</v>
      </c>
      <c r="D19" s="604">
        <f t="shared" si="1"/>
        <v>80716.286456177084</v>
      </c>
      <c r="E19" s="604">
        <f t="shared" si="2"/>
        <v>64503.873577954721</v>
      </c>
      <c r="F19" s="604">
        <f t="shared" si="3"/>
        <v>58923.932162151839</v>
      </c>
      <c r="G19" s="604">
        <f t="shared" si="4"/>
        <v>63158.183012248825</v>
      </c>
      <c r="H19" s="604">
        <f t="shared" si="5"/>
        <v>53166.529508667598</v>
      </c>
      <c r="I19" s="604">
        <f t="shared" si="6"/>
        <v>57938.079262288695</v>
      </c>
      <c r="J19" s="604">
        <f t="shared" si="7"/>
        <v>61699.114433579845</v>
      </c>
      <c r="K19" s="604">
        <f t="shared" si="8"/>
        <v>59919.644019663945</v>
      </c>
      <c r="L19" s="604">
        <f t="shared" si="9"/>
        <v>61787.845052420504</v>
      </c>
      <c r="M19" s="604">
        <f t="shared" si="10"/>
        <v>61920.940980681517</v>
      </c>
      <c r="N19" s="604">
        <f t="shared" si="11"/>
        <v>65672.117194323699</v>
      </c>
      <c r="O19" s="605">
        <f t="shared" si="12"/>
        <v>759153.69868272042</v>
      </c>
      <c r="P19" s="606"/>
    </row>
    <row r="20" spans="1:16" x14ac:dyDescent="0.2">
      <c r="A20" s="602" t="s">
        <v>162</v>
      </c>
      <c r="B20" s="603">
        <f>FGP!U24</f>
        <v>3.8052374745126212</v>
      </c>
      <c r="C20" s="604">
        <f t="shared" si="0"/>
        <v>41793.511878374818</v>
      </c>
      <c r="D20" s="604">
        <f t="shared" si="1"/>
        <v>48366.376699179287</v>
      </c>
      <c r="E20" s="604">
        <f t="shared" si="2"/>
        <v>38651.662322466036</v>
      </c>
      <c r="F20" s="604">
        <f t="shared" si="3"/>
        <v>35308.080000667833</v>
      </c>
      <c r="G20" s="604">
        <f t="shared" si="4"/>
        <v>37845.304898468341</v>
      </c>
      <c r="H20" s="604">
        <f t="shared" si="5"/>
        <v>31858.160315642937</v>
      </c>
      <c r="I20" s="604">
        <f t="shared" si="6"/>
        <v>34717.342556984186</v>
      </c>
      <c r="J20" s="604">
        <f t="shared" si="7"/>
        <v>36971.009714631386</v>
      </c>
      <c r="K20" s="604">
        <f t="shared" si="8"/>
        <v>35904.725075641851</v>
      </c>
      <c r="L20" s="604">
        <f t="shared" si="9"/>
        <v>37024.178396244715</v>
      </c>
      <c r="M20" s="604">
        <f t="shared" si="10"/>
        <v>37103.931418664724</v>
      </c>
      <c r="N20" s="604">
        <f t="shared" si="11"/>
        <v>39351.690945021546</v>
      </c>
      <c r="O20" s="605">
        <f t="shared" si="12"/>
        <v>454895.97422198765</v>
      </c>
      <c r="P20" s="606"/>
    </row>
    <row r="21" spans="1:16" x14ac:dyDescent="0.2">
      <c r="A21" s="602" t="s">
        <v>163</v>
      </c>
      <c r="B21" s="603">
        <f>FGP!U25</f>
        <v>22.033904735981441</v>
      </c>
      <c r="C21" s="604">
        <f t="shared" si="0"/>
        <v>242001.78450838104</v>
      </c>
      <c r="D21" s="604">
        <f t="shared" si="1"/>
        <v>280061.40057022462</v>
      </c>
      <c r="E21" s="604">
        <f t="shared" si="2"/>
        <v>223809.17122908859</v>
      </c>
      <c r="F21" s="604">
        <f t="shared" si="3"/>
        <v>204448.44148518494</v>
      </c>
      <c r="G21" s="604">
        <f t="shared" si="4"/>
        <v>219140.02698184495</v>
      </c>
      <c r="H21" s="604">
        <f t="shared" si="5"/>
        <v>184471.97426184517</v>
      </c>
      <c r="I21" s="604">
        <f t="shared" si="6"/>
        <v>201027.82643939997</v>
      </c>
      <c r="J21" s="604">
        <f t="shared" si="7"/>
        <v>214077.49490051714</v>
      </c>
      <c r="K21" s="604">
        <f t="shared" si="8"/>
        <v>207903.26416871633</v>
      </c>
      <c r="L21" s="604">
        <f t="shared" si="9"/>
        <v>214385.3636402351</v>
      </c>
      <c r="M21" s="604">
        <f t="shared" si="10"/>
        <v>214847.16674981214</v>
      </c>
      <c r="N21" s="604">
        <f t="shared" si="11"/>
        <v>227862.62757318284</v>
      </c>
      <c r="O21" s="605">
        <f t="shared" si="12"/>
        <v>2634036.5425084331</v>
      </c>
      <c r="P21" s="606"/>
    </row>
    <row r="22" spans="1:16" x14ac:dyDescent="0.2">
      <c r="A22" s="602" t="s">
        <v>164</v>
      </c>
      <c r="B22" s="603">
        <f>FGP!U26</f>
        <v>2.9622596926133999</v>
      </c>
      <c r="C22" s="604">
        <f t="shared" si="0"/>
        <v>32534.956485449286</v>
      </c>
      <c r="D22" s="604">
        <f t="shared" si="1"/>
        <v>37651.728475128984</v>
      </c>
      <c r="E22" s="604">
        <f t="shared" si="2"/>
        <v>30089.123771443461</v>
      </c>
      <c r="F22" s="604">
        <f t="shared" si="3"/>
        <v>27486.248338007823</v>
      </c>
      <c r="G22" s="604">
        <f t="shared" si="4"/>
        <v>29461.399454381255</v>
      </c>
      <c r="H22" s="604">
        <f t="shared" si="5"/>
        <v>24800.592555904059</v>
      </c>
      <c r="I22" s="604">
        <f t="shared" si="6"/>
        <v>27026.377507327095</v>
      </c>
      <c r="J22" s="604">
        <f t="shared" si="7"/>
        <v>28780.787692336635</v>
      </c>
      <c r="K22" s="604">
        <f t="shared" si="8"/>
        <v>27950.718076947891</v>
      </c>
      <c r="L22" s="604">
        <f t="shared" si="9"/>
        <v>28822.177866670696</v>
      </c>
      <c r="M22" s="604">
        <f t="shared" si="10"/>
        <v>28884.263128171788</v>
      </c>
      <c r="N22" s="604">
        <f t="shared" si="11"/>
        <v>30634.074404921979</v>
      </c>
      <c r="O22" s="605">
        <f t="shared" si="12"/>
        <v>354122.44775669096</v>
      </c>
      <c r="P22" s="606"/>
    </row>
    <row r="23" spans="1:16" ht="13.5" thickBot="1" x14ac:dyDescent="0.25">
      <c r="A23" s="602" t="s">
        <v>165</v>
      </c>
      <c r="B23" s="603">
        <f>FGP!U27</f>
        <v>4.8639447149885555</v>
      </c>
      <c r="C23" s="604">
        <f t="shared" si="0"/>
        <v>53421.457289645004</v>
      </c>
      <c r="D23" s="604">
        <f t="shared" si="1"/>
        <v>61823.048864841207</v>
      </c>
      <c r="E23" s="604">
        <f t="shared" si="2"/>
        <v>49405.470732929789</v>
      </c>
      <c r="F23" s="604">
        <f t="shared" si="3"/>
        <v>45131.624574268557</v>
      </c>
      <c r="G23" s="604">
        <f t="shared" si="4"/>
        <v>48374.765564825211</v>
      </c>
      <c r="H23" s="604">
        <f t="shared" si="5"/>
        <v>40721.855477988684</v>
      </c>
      <c r="I23" s="604">
        <f t="shared" si="6"/>
        <v>44376.529974681456</v>
      </c>
      <c r="J23" s="604">
        <f t="shared" si="7"/>
        <v>47257.220742130958</v>
      </c>
      <c r="K23" s="604">
        <f t="shared" si="8"/>
        <v>45894.270448167787</v>
      </c>
      <c r="L23" s="604">
        <f t="shared" si="9"/>
        <v>47325.182210940264</v>
      </c>
      <c r="M23" s="604">
        <f t="shared" si="10"/>
        <v>47427.124414154227</v>
      </c>
      <c r="N23" s="604">
        <f t="shared" si="11"/>
        <v>50300.263907291584</v>
      </c>
      <c r="O23" s="605">
        <f t="shared" si="12"/>
        <v>581458.81420186476</v>
      </c>
      <c r="P23" s="606"/>
    </row>
    <row r="24" spans="1:16" ht="13.5" thickBot="1" x14ac:dyDescent="0.25">
      <c r="A24" s="607" t="s">
        <v>288</v>
      </c>
      <c r="B24" s="636">
        <f>SUM(B4:B23)</f>
        <v>100</v>
      </c>
      <c r="C24" s="609">
        <f>'X22.55 POE'!B85</f>
        <v>1098315.4706718475</v>
      </c>
      <c r="D24" s="609">
        <f>'X22.55 POE'!C85</f>
        <v>1271047.5239229086</v>
      </c>
      <c r="E24" s="609">
        <f>'X22.55 POE'!D85</f>
        <v>1015749.0191178301</v>
      </c>
      <c r="F24" s="609">
        <f>'X22.55 POE'!E85</f>
        <v>927881.11746403237</v>
      </c>
      <c r="G24" s="609">
        <f>'X22.55 POE'!F85</f>
        <v>994558.29371899087</v>
      </c>
      <c r="H24" s="609">
        <f>'X22.55 POE'!G85</f>
        <v>837218.71575763787</v>
      </c>
      <c r="I24" s="609">
        <f>'X22.55 POE'!H85</f>
        <v>912356.79217184254</v>
      </c>
      <c r="J24" s="609">
        <f>'X22.55 POE'!I85</f>
        <v>971582.19328654837</v>
      </c>
      <c r="K24" s="609">
        <f>'X22.55 POE'!J85</f>
        <v>943560.69275914412</v>
      </c>
      <c r="L24" s="609">
        <f>'X22.55 POE'!K85</f>
        <v>972979.44331284636</v>
      </c>
      <c r="M24" s="609">
        <f>'X22.55 POE'!L85</f>
        <v>975075.31835229369</v>
      </c>
      <c r="N24" s="609">
        <f>'X22.55 POE'!M85</f>
        <v>1034145.4694640774</v>
      </c>
      <c r="O24" s="609">
        <f>SUM(C24:N24)</f>
        <v>11954470.049999999</v>
      </c>
    </row>
    <row r="25" spans="1:16" x14ac:dyDescent="0.2">
      <c r="A25" s="611" t="s">
        <v>289</v>
      </c>
      <c r="O25" s="606"/>
    </row>
  </sheetData>
  <mergeCells count="1">
    <mergeCell ref="A1:O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R32"/>
  <sheetViews>
    <sheetView workbookViewId="0">
      <selection sqref="A1:O1"/>
    </sheetView>
  </sheetViews>
  <sheetFormatPr baseColWidth="10" defaultRowHeight="15" x14ac:dyDescent="0.25"/>
  <cols>
    <col min="1" max="1" width="16.5703125" customWidth="1"/>
    <col min="2" max="2" width="9.28515625" hidden="1" customWidth="1"/>
    <col min="3" max="10" width="9.7109375" customWidth="1"/>
    <col min="11" max="11" width="12.140625" customWidth="1"/>
    <col min="12" max="15" width="9.7109375" customWidth="1"/>
    <col min="16" max="16" width="12.7109375" bestFit="1" customWidth="1"/>
  </cols>
  <sheetData>
    <row r="1" spans="1:17" s="597" customFormat="1" ht="12.75" x14ac:dyDescent="0.2">
      <c r="A1" s="1255" t="s">
        <v>488</v>
      </c>
      <c r="B1" s="1255"/>
      <c r="C1" s="1255"/>
      <c r="D1" s="1255"/>
      <c r="E1" s="1255"/>
      <c r="F1" s="1255"/>
      <c r="G1" s="1255"/>
      <c r="H1" s="1255"/>
      <c r="I1" s="1255"/>
      <c r="J1" s="1255"/>
      <c r="K1" s="1255"/>
      <c r="L1" s="1255"/>
      <c r="M1" s="1255"/>
      <c r="N1" s="1255"/>
      <c r="O1" s="1255"/>
    </row>
    <row r="2" spans="1:17" s="597" customFormat="1" ht="13.5" thickBot="1" x14ac:dyDescent="0.25"/>
    <row r="3" spans="1:17" s="597" customFormat="1" ht="23.25" customHeight="1" thickBot="1" x14ac:dyDescent="0.25">
      <c r="A3" s="897" t="s">
        <v>343</v>
      </c>
      <c r="B3" s="898" t="s">
        <v>281</v>
      </c>
      <c r="C3" s="897" t="s">
        <v>1</v>
      </c>
      <c r="D3" s="899" t="s">
        <v>2</v>
      </c>
      <c r="E3" s="897" t="s">
        <v>3</v>
      </c>
      <c r="F3" s="899" t="s">
        <v>4</v>
      </c>
      <c r="G3" s="897" t="s">
        <v>5</v>
      </c>
      <c r="H3" s="897" t="s">
        <v>6</v>
      </c>
      <c r="I3" s="897" t="s">
        <v>7</v>
      </c>
      <c r="J3" s="899" t="s">
        <v>8</v>
      </c>
      <c r="K3" s="897" t="s">
        <v>9</v>
      </c>
      <c r="L3" s="899" t="s">
        <v>10</v>
      </c>
      <c r="M3" s="897" t="s">
        <v>11</v>
      </c>
      <c r="N3" s="897" t="s">
        <v>12</v>
      </c>
      <c r="O3" s="900" t="s">
        <v>168</v>
      </c>
    </row>
    <row r="4" spans="1:17" s="597" customFormat="1" ht="12.75" customHeight="1" x14ac:dyDescent="0.2">
      <c r="A4" s="602" t="s">
        <v>282</v>
      </c>
      <c r="B4" s="603">
        <f>FGP!U8</f>
        <v>3.7409604047338894</v>
      </c>
      <c r="C4" s="604">
        <f>$C$24*B4/100</f>
        <v>8832.581470235531</v>
      </c>
      <c r="D4" s="604">
        <f>$D$24*B4/100</f>
        <v>8832.581470235531</v>
      </c>
      <c r="E4" s="604">
        <f>$E$24*B4/100</f>
        <v>8832.581470235531</v>
      </c>
      <c r="F4" s="604">
        <f>$F$24*B4/100</f>
        <v>8832.581470235531</v>
      </c>
      <c r="G4" s="604">
        <f>$G$24*B4/100</f>
        <v>8832.581470235531</v>
      </c>
      <c r="H4" s="604">
        <f>$H$24*B4/100</f>
        <v>8832.581470235531</v>
      </c>
      <c r="I4" s="604">
        <f>$I$24*B4/100</f>
        <v>8832.581470235531</v>
      </c>
      <c r="J4" s="604">
        <f>$J$24*B4/100</f>
        <v>8832.581470235531</v>
      </c>
      <c r="K4" s="604">
        <f>$K$24*B4/100</f>
        <v>8832.581470235531</v>
      </c>
      <c r="L4" s="604">
        <f>$L$24*B4/100</f>
        <v>8832.581470235531</v>
      </c>
      <c r="M4" s="604">
        <f>$M$24*B4/100</f>
        <v>8832.581470235531</v>
      </c>
      <c r="N4" s="604">
        <f>$N$24*B4/100</f>
        <v>8832.581470235531</v>
      </c>
      <c r="O4" s="605">
        <f>SUM(C4:N4)</f>
        <v>105990.97764282634</v>
      </c>
      <c r="P4" s="606"/>
      <c r="Q4" s="606"/>
    </row>
    <row r="5" spans="1:17" s="597" customFormat="1" ht="12.75" customHeight="1" x14ac:dyDescent="0.2">
      <c r="A5" s="602" t="s">
        <v>147</v>
      </c>
      <c r="B5" s="603">
        <f>FGP!U9</f>
        <v>3.1434770533559684</v>
      </c>
      <c r="C5" s="604">
        <f t="shared" ref="C5:C23" si="0">$C$24*B5/100</f>
        <v>7421.8954946564209</v>
      </c>
      <c r="D5" s="604">
        <f t="shared" ref="D5:D23" si="1">$D$24*B5/100</f>
        <v>7421.8954946564209</v>
      </c>
      <c r="E5" s="604">
        <f t="shared" ref="E5:E23" si="2">$E$24*B5/100</f>
        <v>7421.8954946564209</v>
      </c>
      <c r="F5" s="604">
        <f t="shared" ref="F5:F23" si="3">$F$24*B5/100</f>
        <v>7421.8954946564209</v>
      </c>
      <c r="G5" s="604">
        <f t="shared" ref="G5:G23" si="4">$G$24*B5/100</f>
        <v>7421.8954946564209</v>
      </c>
      <c r="H5" s="604">
        <f t="shared" ref="H5:H23" si="5">$H$24*B5/100</f>
        <v>7421.8954946564209</v>
      </c>
      <c r="I5" s="604">
        <f t="shared" ref="I5:I23" si="6">$I$24*B5/100</f>
        <v>7421.8954946564209</v>
      </c>
      <c r="J5" s="604">
        <f t="shared" ref="J5:J23" si="7">$J$24*B5/100</f>
        <v>7421.8954946564209</v>
      </c>
      <c r="K5" s="604">
        <f t="shared" ref="K5:K23" si="8">$K$24*B5/100</f>
        <v>7421.8954946564209</v>
      </c>
      <c r="L5" s="604">
        <f t="shared" ref="L5:L23" si="9">$L$24*B5/100</f>
        <v>7421.8954946564209</v>
      </c>
      <c r="M5" s="604">
        <f t="shared" ref="M5:M23" si="10">$M$24*B5/100</f>
        <v>7421.8954946564209</v>
      </c>
      <c r="N5" s="604">
        <f t="shared" ref="N5:N23" si="11">$N$24*B5/100</f>
        <v>7421.8954946564209</v>
      </c>
      <c r="O5" s="605">
        <f t="shared" ref="O5:O23" si="12">SUM(C5:N5)</f>
        <v>89062.745935877043</v>
      </c>
      <c r="P5" s="606"/>
    </row>
    <row r="6" spans="1:17" s="597" customFormat="1" ht="12.75" customHeight="1" x14ac:dyDescent="0.2">
      <c r="A6" s="602" t="s">
        <v>148</v>
      </c>
      <c r="B6" s="603">
        <f>FGP!U10</f>
        <v>2.6603597159645074</v>
      </c>
      <c r="C6" s="604">
        <f t="shared" si="0"/>
        <v>6281.2329961189935</v>
      </c>
      <c r="D6" s="604">
        <f t="shared" si="1"/>
        <v>6281.2329961189935</v>
      </c>
      <c r="E6" s="604">
        <f t="shared" si="2"/>
        <v>6281.2329961189935</v>
      </c>
      <c r="F6" s="604">
        <f t="shared" si="3"/>
        <v>6281.2329961189935</v>
      </c>
      <c r="G6" s="604">
        <f t="shared" si="4"/>
        <v>6281.2329961189935</v>
      </c>
      <c r="H6" s="604">
        <f t="shared" si="5"/>
        <v>6281.2329961189935</v>
      </c>
      <c r="I6" s="604">
        <f t="shared" si="6"/>
        <v>6281.2329961189935</v>
      </c>
      <c r="J6" s="604">
        <f t="shared" si="7"/>
        <v>6281.2329961189935</v>
      </c>
      <c r="K6" s="604">
        <f t="shared" si="8"/>
        <v>6281.2329961189935</v>
      </c>
      <c r="L6" s="604">
        <f t="shared" si="9"/>
        <v>6281.2329961189935</v>
      </c>
      <c r="M6" s="604">
        <f t="shared" si="10"/>
        <v>6281.2329961189935</v>
      </c>
      <c r="N6" s="604">
        <f t="shared" si="11"/>
        <v>6281.2329961189935</v>
      </c>
      <c r="O6" s="605">
        <f t="shared" si="12"/>
        <v>75374.795953427936</v>
      </c>
      <c r="P6" s="606"/>
    </row>
    <row r="7" spans="1:17" s="597" customFormat="1" ht="12.75" customHeight="1" x14ac:dyDescent="0.2">
      <c r="A7" s="602" t="s">
        <v>283</v>
      </c>
      <c r="B7" s="603">
        <f>FGP!U11</f>
        <v>10.664297612988729</v>
      </c>
      <c r="C7" s="604">
        <f t="shared" si="0"/>
        <v>25178.902554105389</v>
      </c>
      <c r="D7" s="604">
        <f t="shared" si="1"/>
        <v>25178.902554105389</v>
      </c>
      <c r="E7" s="604">
        <f t="shared" si="2"/>
        <v>25178.902554105389</v>
      </c>
      <c r="F7" s="604">
        <f t="shared" si="3"/>
        <v>25178.902554105389</v>
      </c>
      <c r="G7" s="604">
        <f t="shared" si="4"/>
        <v>25178.902554105389</v>
      </c>
      <c r="H7" s="604">
        <f t="shared" si="5"/>
        <v>25178.902554105389</v>
      </c>
      <c r="I7" s="604">
        <f t="shared" si="6"/>
        <v>25178.902554105389</v>
      </c>
      <c r="J7" s="604">
        <f t="shared" si="7"/>
        <v>25178.902554105389</v>
      </c>
      <c r="K7" s="604">
        <f t="shared" si="8"/>
        <v>25178.902554105389</v>
      </c>
      <c r="L7" s="604">
        <f t="shared" si="9"/>
        <v>25178.902554105389</v>
      </c>
      <c r="M7" s="604">
        <f t="shared" si="10"/>
        <v>25178.902554105389</v>
      </c>
      <c r="N7" s="604">
        <f t="shared" si="11"/>
        <v>25178.902554105389</v>
      </c>
      <c r="O7" s="605">
        <f t="shared" si="12"/>
        <v>302146.83064926468</v>
      </c>
      <c r="P7" s="606"/>
    </row>
    <row r="8" spans="1:17" s="597" customFormat="1" ht="12.75" customHeight="1" x14ac:dyDescent="0.2">
      <c r="A8" s="602" t="s">
        <v>150</v>
      </c>
      <c r="B8" s="603">
        <f>FGP!U12</f>
        <v>6.2620312493312147</v>
      </c>
      <c r="C8" s="604">
        <f t="shared" si="0"/>
        <v>14784.94696412409</v>
      </c>
      <c r="D8" s="604">
        <f t="shared" si="1"/>
        <v>14784.94696412409</v>
      </c>
      <c r="E8" s="604">
        <f t="shared" si="2"/>
        <v>14784.94696412409</v>
      </c>
      <c r="F8" s="604">
        <f t="shared" si="3"/>
        <v>14784.94696412409</v>
      </c>
      <c r="G8" s="604">
        <f t="shared" si="4"/>
        <v>14784.94696412409</v>
      </c>
      <c r="H8" s="604">
        <f t="shared" si="5"/>
        <v>14784.94696412409</v>
      </c>
      <c r="I8" s="604">
        <f t="shared" si="6"/>
        <v>14784.94696412409</v>
      </c>
      <c r="J8" s="604">
        <f t="shared" si="7"/>
        <v>14784.94696412409</v>
      </c>
      <c r="K8" s="604">
        <f t="shared" si="8"/>
        <v>14784.94696412409</v>
      </c>
      <c r="L8" s="604">
        <f t="shared" si="9"/>
        <v>14784.94696412409</v>
      </c>
      <c r="M8" s="604">
        <f t="shared" si="10"/>
        <v>14784.94696412409</v>
      </c>
      <c r="N8" s="604">
        <f t="shared" si="11"/>
        <v>14784.94696412409</v>
      </c>
      <c r="O8" s="605">
        <f t="shared" si="12"/>
        <v>177419.3635694891</v>
      </c>
      <c r="P8" s="606"/>
    </row>
    <row r="9" spans="1:17" s="597" customFormat="1" ht="12.75" customHeight="1" x14ac:dyDescent="0.2">
      <c r="A9" s="602" t="s">
        <v>284</v>
      </c>
      <c r="B9" s="603">
        <f>FGP!U13</f>
        <v>4.4840019348333104</v>
      </c>
      <c r="C9" s="604">
        <f t="shared" si="0"/>
        <v>10586.937074231415</v>
      </c>
      <c r="D9" s="604">
        <f t="shared" si="1"/>
        <v>10586.937074231415</v>
      </c>
      <c r="E9" s="604">
        <f t="shared" si="2"/>
        <v>10586.937074231415</v>
      </c>
      <c r="F9" s="604">
        <f t="shared" si="3"/>
        <v>10586.937074231415</v>
      </c>
      <c r="G9" s="604">
        <f t="shared" si="4"/>
        <v>10586.937074231415</v>
      </c>
      <c r="H9" s="604">
        <f t="shared" si="5"/>
        <v>10586.937074231415</v>
      </c>
      <c r="I9" s="604">
        <f t="shared" si="6"/>
        <v>10586.937074231415</v>
      </c>
      <c r="J9" s="604">
        <f t="shared" si="7"/>
        <v>10586.937074231415</v>
      </c>
      <c r="K9" s="604">
        <f t="shared" si="8"/>
        <v>10586.937074231415</v>
      </c>
      <c r="L9" s="604">
        <f t="shared" si="9"/>
        <v>10586.937074231415</v>
      </c>
      <c r="M9" s="604">
        <f t="shared" si="10"/>
        <v>10586.937074231415</v>
      </c>
      <c r="N9" s="604">
        <f t="shared" si="11"/>
        <v>10586.937074231415</v>
      </c>
      <c r="O9" s="605">
        <f t="shared" si="12"/>
        <v>127043.244890777</v>
      </c>
      <c r="P9" s="606"/>
    </row>
    <row r="10" spans="1:17" s="597" customFormat="1" ht="12.75" customHeight="1" x14ac:dyDescent="0.2">
      <c r="A10" s="602" t="s">
        <v>152</v>
      </c>
      <c r="B10" s="603">
        <f>FGP!U14</f>
        <v>2.8247488936015976</v>
      </c>
      <c r="C10" s="604">
        <f t="shared" si="0"/>
        <v>6669.3634886169239</v>
      </c>
      <c r="D10" s="604">
        <f t="shared" si="1"/>
        <v>6669.3634886169239</v>
      </c>
      <c r="E10" s="604">
        <f t="shared" si="2"/>
        <v>6669.3634886169239</v>
      </c>
      <c r="F10" s="604">
        <f t="shared" si="3"/>
        <v>6669.3634886169239</v>
      </c>
      <c r="G10" s="604">
        <f t="shared" si="4"/>
        <v>6669.3634886169239</v>
      </c>
      <c r="H10" s="604">
        <f t="shared" si="5"/>
        <v>6669.3634886169239</v>
      </c>
      <c r="I10" s="604">
        <f t="shared" si="6"/>
        <v>6669.3634886169239</v>
      </c>
      <c r="J10" s="604">
        <f t="shared" si="7"/>
        <v>6669.3634886169239</v>
      </c>
      <c r="K10" s="604">
        <f t="shared" si="8"/>
        <v>6669.3634886169239</v>
      </c>
      <c r="L10" s="604">
        <f t="shared" si="9"/>
        <v>6669.3634886169239</v>
      </c>
      <c r="M10" s="604">
        <f t="shared" si="10"/>
        <v>6669.3634886169239</v>
      </c>
      <c r="N10" s="604">
        <f t="shared" si="11"/>
        <v>6669.3634886169239</v>
      </c>
      <c r="O10" s="605">
        <f t="shared" si="12"/>
        <v>80032.361863403086</v>
      </c>
      <c r="P10" s="606"/>
    </row>
    <row r="11" spans="1:17" s="597" customFormat="1" ht="12.75" customHeight="1" x14ac:dyDescent="0.2">
      <c r="A11" s="602" t="s">
        <v>153</v>
      </c>
      <c r="B11" s="603">
        <f>FGP!U15</f>
        <v>3.2830833450623955</v>
      </c>
      <c r="C11" s="604">
        <f t="shared" si="0"/>
        <v>7751.51244106786</v>
      </c>
      <c r="D11" s="604">
        <f t="shared" si="1"/>
        <v>7751.51244106786</v>
      </c>
      <c r="E11" s="604">
        <f t="shared" si="2"/>
        <v>7751.51244106786</v>
      </c>
      <c r="F11" s="604">
        <f t="shared" si="3"/>
        <v>7751.51244106786</v>
      </c>
      <c r="G11" s="604">
        <f t="shared" si="4"/>
        <v>7751.51244106786</v>
      </c>
      <c r="H11" s="604">
        <f t="shared" si="5"/>
        <v>7751.51244106786</v>
      </c>
      <c r="I11" s="604">
        <f t="shared" si="6"/>
        <v>7751.51244106786</v>
      </c>
      <c r="J11" s="604">
        <f t="shared" si="7"/>
        <v>7751.51244106786</v>
      </c>
      <c r="K11" s="604">
        <f t="shared" si="8"/>
        <v>7751.51244106786</v>
      </c>
      <c r="L11" s="604">
        <f t="shared" si="9"/>
        <v>7751.51244106786</v>
      </c>
      <c r="M11" s="604">
        <f t="shared" si="10"/>
        <v>7751.51244106786</v>
      </c>
      <c r="N11" s="604">
        <f t="shared" si="11"/>
        <v>7751.51244106786</v>
      </c>
      <c r="O11" s="605">
        <f t="shared" si="12"/>
        <v>93018.149292814313</v>
      </c>
      <c r="P11" s="606"/>
    </row>
    <row r="12" spans="1:17" s="597" customFormat="1" ht="12.75" customHeight="1" x14ac:dyDescent="0.2">
      <c r="A12" s="602" t="s">
        <v>154</v>
      </c>
      <c r="B12" s="603">
        <f>FGP!U16</f>
        <v>3.2145773533348407</v>
      </c>
      <c r="C12" s="604">
        <f t="shared" si="0"/>
        <v>7589.7666090704888</v>
      </c>
      <c r="D12" s="604">
        <f t="shared" si="1"/>
        <v>7589.7666090704888</v>
      </c>
      <c r="E12" s="604">
        <f t="shared" si="2"/>
        <v>7589.7666090704888</v>
      </c>
      <c r="F12" s="604">
        <f t="shared" si="3"/>
        <v>7589.7666090704888</v>
      </c>
      <c r="G12" s="604">
        <f t="shared" si="4"/>
        <v>7589.7666090704888</v>
      </c>
      <c r="H12" s="604">
        <f t="shared" si="5"/>
        <v>7589.7666090704888</v>
      </c>
      <c r="I12" s="604">
        <f t="shared" si="6"/>
        <v>7589.7666090704888</v>
      </c>
      <c r="J12" s="604">
        <f t="shared" si="7"/>
        <v>7589.7666090704888</v>
      </c>
      <c r="K12" s="604">
        <f t="shared" si="8"/>
        <v>7589.7666090704888</v>
      </c>
      <c r="L12" s="604">
        <f t="shared" si="9"/>
        <v>7589.7666090704888</v>
      </c>
      <c r="M12" s="604">
        <f t="shared" si="10"/>
        <v>7589.7666090704888</v>
      </c>
      <c r="N12" s="604">
        <f t="shared" si="11"/>
        <v>7589.7666090704888</v>
      </c>
      <c r="O12" s="605">
        <f t="shared" si="12"/>
        <v>91077.199308845869</v>
      </c>
      <c r="P12" s="606"/>
    </row>
    <row r="13" spans="1:17" s="597" customFormat="1" ht="12.75" customHeight="1" x14ac:dyDescent="0.2">
      <c r="A13" s="602" t="s">
        <v>155</v>
      </c>
      <c r="B13" s="603">
        <f>FGP!U17</f>
        <v>2.8913882559426334</v>
      </c>
      <c r="C13" s="604">
        <f t="shared" si="0"/>
        <v>6826.702121834458</v>
      </c>
      <c r="D13" s="604">
        <f t="shared" si="1"/>
        <v>6826.702121834458</v>
      </c>
      <c r="E13" s="604">
        <f t="shared" si="2"/>
        <v>6826.702121834458</v>
      </c>
      <c r="F13" s="604">
        <f t="shared" si="3"/>
        <v>6826.702121834458</v>
      </c>
      <c r="G13" s="604">
        <f t="shared" si="4"/>
        <v>6826.702121834458</v>
      </c>
      <c r="H13" s="604">
        <f t="shared" si="5"/>
        <v>6826.702121834458</v>
      </c>
      <c r="I13" s="604">
        <f t="shared" si="6"/>
        <v>6826.702121834458</v>
      </c>
      <c r="J13" s="604">
        <f t="shared" si="7"/>
        <v>6826.702121834458</v>
      </c>
      <c r="K13" s="604">
        <f t="shared" si="8"/>
        <v>6826.702121834458</v>
      </c>
      <c r="L13" s="604">
        <f t="shared" si="9"/>
        <v>6826.702121834458</v>
      </c>
      <c r="M13" s="604">
        <f t="shared" si="10"/>
        <v>6826.702121834458</v>
      </c>
      <c r="N13" s="604">
        <f t="shared" si="11"/>
        <v>6826.702121834458</v>
      </c>
      <c r="O13" s="605">
        <f t="shared" si="12"/>
        <v>81920.425462013503</v>
      </c>
      <c r="P13" s="606"/>
    </row>
    <row r="14" spans="1:17" s="597" customFormat="1" ht="12.75" customHeight="1" x14ac:dyDescent="0.25">
      <c r="A14" s="602" t="s">
        <v>156</v>
      </c>
      <c r="B14" s="603">
        <f>FGP!U18</f>
        <v>3.6079378597382386</v>
      </c>
      <c r="C14" s="604">
        <f t="shared" si="0"/>
        <v>8518.5090559524579</v>
      </c>
      <c r="D14" s="604">
        <f t="shared" si="1"/>
        <v>8518.5090559524579</v>
      </c>
      <c r="E14" s="604">
        <f t="shared" si="2"/>
        <v>8518.5090559524579</v>
      </c>
      <c r="F14" s="604">
        <f t="shared" si="3"/>
        <v>8518.5090559524579</v>
      </c>
      <c r="G14" s="604">
        <f t="shared" si="4"/>
        <v>8518.5090559524579</v>
      </c>
      <c r="H14" s="604">
        <f t="shared" si="5"/>
        <v>8518.5090559524579</v>
      </c>
      <c r="I14" s="604">
        <f t="shared" si="6"/>
        <v>8518.5090559524579</v>
      </c>
      <c r="J14" s="604">
        <f t="shared" si="7"/>
        <v>8518.5090559524579</v>
      </c>
      <c r="K14" s="604">
        <f t="shared" si="8"/>
        <v>8518.5090559524579</v>
      </c>
      <c r="L14" s="604">
        <f t="shared" si="9"/>
        <v>8518.5090559524579</v>
      </c>
      <c r="M14" s="604">
        <f t="shared" si="10"/>
        <v>8518.5090559524579</v>
      </c>
      <c r="N14" s="604">
        <f t="shared" si="11"/>
        <v>8518.5090559524579</v>
      </c>
      <c r="O14" s="605">
        <f t="shared" si="12"/>
        <v>102222.10867142947</v>
      </c>
      <c r="P14" s="606"/>
      <c r="Q14"/>
    </row>
    <row r="15" spans="1:17" s="597" customFormat="1" ht="12.75" customHeight="1" x14ac:dyDescent="0.25">
      <c r="A15" s="602" t="s">
        <v>157</v>
      </c>
      <c r="B15" s="603">
        <f>FGP!U19</f>
        <v>3.0024932576536294</v>
      </c>
      <c r="C15" s="604">
        <f t="shared" si="0"/>
        <v>7089.0261972566987</v>
      </c>
      <c r="D15" s="604">
        <f t="shared" si="1"/>
        <v>7089.0261972566987</v>
      </c>
      <c r="E15" s="604">
        <f t="shared" si="2"/>
        <v>7089.0261972566987</v>
      </c>
      <c r="F15" s="604">
        <f t="shared" si="3"/>
        <v>7089.0261972566987</v>
      </c>
      <c r="G15" s="604">
        <f t="shared" si="4"/>
        <v>7089.0261972566987</v>
      </c>
      <c r="H15" s="604">
        <f t="shared" si="5"/>
        <v>7089.0261972566987</v>
      </c>
      <c r="I15" s="604">
        <f t="shared" si="6"/>
        <v>7089.0261972566987</v>
      </c>
      <c r="J15" s="604">
        <f t="shared" si="7"/>
        <v>7089.0261972566987</v>
      </c>
      <c r="K15" s="604">
        <f t="shared" si="8"/>
        <v>7089.0261972566987</v>
      </c>
      <c r="L15" s="604">
        <f t="shared" si="9"/>
        <v>7089.0261972566987</v>
      </c>
      <c r="M15" s="604">
        <f t="shared" si="10"/>
        <v>7089.0261972566987</v>
      </c>
      <c r="N15" s="604">
        <f t="shared" si="11"/>
        <v>7089.0261972566987</v>
      </c>
      <c r="O15" s="605">
        <f t="shared" si="12"/>
        <v>85068.314367080355</v>
      </c>
      <c r="P15" s="606"/>
      <c r="Q15"/>
    </row>
    <row r="16" spans="1:17" s="597" customFormat="1" ht="12.75" customHeight="1" x14ac:dyDescent="0.25">
      <c r="A16" s="602" t="s">
        <v>158</v>
      </c>
      <c r="B16" s="603">
        <f>FGP!U20</f>
        <v>4.0688979500675648</v>
      </c>
      <c r="C16" s="604">
        <f t="shared" si="0"/>
        <v>9606.8572638641981</v>
      </c>
      <c r="D16" s="604">
        <f t="shared" si="1"/>
        <v>9606.8572638641981</v>
      </c>
      <c r="E16" s="604">
        <f t="shared" si="2"/>
        <v>9606.8572638641981</v>
      </c>
      <c r="F16" s="604">
        <f t="shared" si="3"/>
        <v>9606.8572638641981</v>
      </c>
      <c r="G16" s="604">
        <f t="shared" si="4"/>
        <v>9606.8572638641981</v>
      </c>
      <c r="H16" s="604">
        <f t="shared" si="5"/>
        <v>9606.8572638641981</v>
      </c>
      <c r="I16" s="604">
        <f t="shared" si="6"/>
        <v>9606.8572638641981</v>
      </c>
      <c r="J16" s="604">
        <f t="shared" si="7"/>
        <v>9606.8572638641981</v>
      </c>
      <c r="K16" s="604">
        <f t="shared" si="8"/>
        <v>9606.8572638641981</v>
      </c>
      <c r="L16" s="604">
        <f t="shared" si="9"/>
        <v>9606.8572638641981</v>
      </c>
      <c r="M16" s="604">
        <f t="shared" si="10"/>
        <v>9606.8572638641981</v>
      </c>
      <c r="N16" s="604">
        <f t="shared" si="11"/>
        <v>9606.8572638641981</v>
      </c>
      <c r="O16" s="605">
        <f t="shared" si="12"/>
        <v>115282.28716637036</v>
      </c>
      <c r="P16" s="606"/>
      <c r="Q16"/>
    </row>
    <row r="17" spans="1:18" s="597" customFormat="1" ht="12.75" customHeight="1" x14ac:dyDescent="0.25">
      <c r="A17" s="602" t="s">
        <v>285</v>
      </c>
      <c r="B17" s="603">
        <f>FGP!U21</f>
        <v>2.7439260574816893</v>
      </c>
      <c r="C17" s="604">
        <f t="shared" si="0"/>
        <v>6478.5370142759402</v>
      </c>
      <c r="D17" s="604">
        <f t="shared" si="1"/>
        <v>6478.5370142759402</v>
      </c>
      <c r="E17" s="604">
        <f t="shared" si="2"/>
        <v>6478.5370142759402</v>
      </c>
      <c r="F17" s="604">
        <f t="shared" si="3"/>
        <v>6478.5370142759402</v>
      </c>
      <c r="G17" s="604">
        <f t="shared" si="4"/>
        <v>6478.5370142759402</v>
      </c>
      <c r="H17" s="604">
        <f t="shared" si="5"/>
        <v>6478.5370142759402</v>
      </c>
      <c r="I17" s="604">
        <f t="shared" si="6"/>
        <v>6478.5370142759402</v>
      </c>
      <c r="J17" s="604">
        <f t="shared" si="7"/>
        <v>6478.5370142759402</v>
      </c>
      <c r="K17" s="604">
        <f t="shared" si="8"/>
        <v>6478.5370142759402</v>
      </c>
      <c r="L17" s="604">
        <f t="shared" si="9"/>
        <v>6478.5370142759402</v>
      </c>
      <c r="M17" s="604">
        <f t="shared" si="10"/>
        <v>6478.5370142759402</v>
      </c>
      <c r="N17" s="604">
        <f t="shared" si="11"/>
        <v>6478.5370142759402</v>
      </c>
      <c r="O17" s="605">
        <f t="shared" si="12"/>
        <v>77742.44417131129</v>
      </c>
      <c r="P17" s="606"/>
      <c r="Q17"/>
    </row>
    <row r="18" spans="1:18" s="597" customFormat="1" ht="12.75" customHeight="1" x14ac:dyDescent="0.25">
      <c r="A18" s="602" t="s">
        <v>286</v>
      </c>
      <c r="B18" s="603">
        <f>FGP!U22</f>
        <v>3.3920972600975436</v>
      </c>
      <c r="C18" s="604">
        <f t="shared" si="0"/>
        <v>8008.8993636128935</v>
      </c>
      <c r="D18" s="604">
        <f t="shared" si="1"/>
        <v>8008.8993636128935</v>
      </c>
      <c r="E18" s="604">
        <f t="shared" si="2"/>
        <v>8008.8993636128935</v>
      </c>
      <c r="F18" s="604">
        <f t="shared" si="3"/>
        <v>8008.8993636128935</v>
      </c>
      <c r="G18" s="604">
        <f t="shared" si="4"/>
        <v>8008.8993636128935</v>
      </c>
      <c r="H18" s="604">
        <f t="shared" si="5"/>
        <v>8008.8993636128935</v>
      </c>
      <c r="I18" s="604">
        <f t="shared" si="6"/>
        <v>8008.8993636128935</v>
      </c>
      <c r="J18" s="604">
        <f t="shared" si="7"/>
        <v>8008.8993636128935</v>
      </c>
      <c r="K18" s="604">
        <f t="shared" si="8"/>
        <v>8008.8993636128935</v>
      </c>
      <c r="L18" s="604">
        <f t="shared" si="9"/>
        <v>8008.8993636128935</v>
      </c>
      <c r="M18" s="604">
        <f t="shared" si="10"/>
        <v>8008.8993636128935</v>
      </c>
      <c r="N18" s="604">
        <f t="shared" si="11"/>
        <v>8008.8993636128935</v>
      </c>
      <c r="O18" s="605">
        <f t="shared" si="12"/>
        <v>96106.792363354703</v>
      </c>
      <c r="P18" s="606"/>
      <c r="Q18"/>
    </row>
    <row r="19" spans="1:18" s="597" customFormat="1" ht="12.75" customHeight="1" x14ac:dyDescent="0.25">
      <c r="A19" s="602" t="s">
        <v>287</v>
      </c>
      <c r="B19" s="603">
        <f>FGP!U23</f>
        <v>6.3503751777162254</v>
      </c>
      <c r="C19" s="604">
        <f t="shared" si="0"/>
        <v>14993.531087033769</v>
      </c>
      <c r="D19" s="604">
        <f t="shared" si="1"/>
        <v>14993.531087033769</v>
      </c>
      <c r="E19" s="604">
        <f t="shared" si="2"/>
        <v>14993.531087033769</v>
      </c>
      <c r="F19" s="604">
        <f t="shared" si="3"/>
        <v>14993.531087033769</v>
      </c>
      <c r="G19" s="604">
        <f t="shared" si="4"/>
        <v>14993.531087033769</v>
      </c>
      <c r="H19" s="604">
        <f t="shared" si="5"/>
        <v>14993.531087033769</v>
      </c>
      <c r="I19" s="604">
        <f t="shared" si="6"/>
        <v>14993.531087033769</v>
      </c>
      <c r="J19" s="604">
        <f t="shared" si="7"/>
        <v>14993.531087033769</v>
      </c>
      <c r="K19" s="604">
        <f t="shared" si="8"/>
        <v>14993.531087033769</v>
      </c>
      <c r="L19" s="604">
        <f t="shared" si="9"/>
        <v>14993.531087033769</v>
      </c>
      <c r="M19" s="604">
        <f t="shared" si="10"/>
        <v>14993.531087033769</v>
      </c>
      <c r="N19" s="604">
        <f t="shared" si="11"/>
        <v>14993.531087033769</v>
      </c>
      <c r="O19" s="605">
        <f t="shared" si="12"/>
        <v>179922.37304440522</v>
      </c>
      <c r="P19" s="606"/>
      <c r="Q19"/>
    </row>
    <row r="20" spans="1:18" s="597" customFormat="1" ht="12.75" customHeight="1" x14ac:dyDescent="0.25">
      <c r="A20" s="602" t="s">
        <v>162</v>
      </c>
      <c r="B20" s="603">
        <f>FGP!U24</f>
        <v>3.8052374745126212</v>
      </c>
      <c r="C20" s="604">
        <f t="shared" si="0"/>
        <v>8984.3426208668625</v>
      </c>
      <c r="D20" s="604">
        <f t="shared" si="1"/>
        <v>8984.3426208668625</v>
      </c>
      <c r="E20" s="604">
        <f t="shared" si="2"/>
        <v>8984.3426208668625</v>
      </c>
      <c r="F20" s="604">
        <f t="shared" si="3"/>
        <v>8984.3426208668625</v>
      </c>
      <c r="G20" s="604">
        <f t="shared" si="4"/>
        <v>8984.3426208668625</v>
      </c>
      <c r="H20" s="604">
        <f t="shared" si="5"/>
        <v>8984.3426208668625</v>
      </c>
      <c r="I20" s="604">
        <f t="shared" si="6"/>
        <v>8984.3426208668625</v>
      </c>
      <c r="J20" s="604">
        <f t="shared" si="7"/>
        <v>8984.3426208668625</v>
      </c>
      <c r="K20" s="604">
        <f t="shared" si="8"/>
        <v>8984.3426208668625</v>
      </c>
      <c r="L20" s="604">
        <f t="shared" si="9"/>
        <v>8984.3426208668625</v>
      </c>
      <c r="M20" s="604">
        <f t="shared" si="10"/>
        <v>8984.3426208668625</v>
      </c>
      <c r="N20" s="604">
        <f t="shared" si="11"/>
        <v>8984.3426208668625</v>
      </c>
      <c r="O20" s="605">
        <f t="shared" si="12"/>
        <v>107812.11145040237</v>
      </c>
      <c r="P20" s="606"/>
      <c r="Q20"/>
    </row>
    <row r="21" spans="1:18" s="597" customFormat="1" ht="12.75" customHeight="1" x14ac:dyDescent="0.25">
      <c r="A21" s="602" t="s">
        <v>163</v>
      </c>
      <c r="B21" s="603">
        <f>FGP!U25</f>
        <v>22.033904735981441</v>
      </c>
      <c r="C21" s="604">
        <f t="shared" si="0"/>
        <v>52023.073658222398</v>
      </c>
      <c r="D21" s="604">
        <f t="shared" si="1"/>
        <v>52023.073658222398</v>
      </c>
      <c r="E21" s="604">
        <f t="shared" si="2"/>
        <v>52023.073658222398</v>
      </c>
      <c r="F21" s="604">
        <f t="shared" si="3"/>
        <v>52023.073658222398</v>
      </c>
      <c r="G21" s="604">
        <f t="shared" si="4"/>
        <v>52023.073658222398</v>
      </c>
      <c r="H21" s="604">
        <f t="shared" si="5"/>
        <v>52023.073658222398</v>
      </c>
      <c r="I21" s="604">
        <f t="shared" si="6"/>
        <v>52023.073658222398</v>
      </c>
      <c r="J21" s="604">
        <f t="shared" si="7"/>
        <v>52023.073658222398</v>
      </c>
      <c r="K21" s="604">
        <f t="shared" si="8"/>
        <v>52023.073658222398</v>
      </c>
      <c r="L21" s="604">
        <f t="shared" si="9"/>
        <v>52023.073658222398</v>
      </c>
      <c r="M21" s="604">
        <f t="shared" si="10"/>
        <v>52023.073658222398</v>
      </c>
      <c r="N21" s="604">
        <f t="shared" si="11"/>
        <v>52023.073658222398</v>
      </c>
      <c r="O21" s="605">
        <f t="shared" si="12"/>
        <v>624276.88389866881</v>
      </c>
      <c r="P21" s="606"/>
      <c r="Q21"/>
    </row>
    <row r="22" spans="1:18" s="597" customFormat="1" ht="12.75" customHeight="1" x14ac:dyDescent="0.25">
      <c r="A22" s="602" t="s">
        <v>164</v>
      </c>
      <c r="B22" s="603">
        <f>FGP!U26</f>
        <v>2.9622596926133999</v>
      </c>
      <c r="C22" s="604">
        <f t="shared" si="0"/>
        <v>6994.0328793359431</v>
      </c>
      <c r="D22" s="604">
        <f t="shared" si="1"/>
        <v>6994.0328793359431</v>
      </c>
      <c r="E22" s="604">
        <f t="shared" si="2"/>
        <v>6994.0328793359431</v>
      </c>
      <c r="F22" s="604">
        <f t="shared" si="3"/>
        <v>6994.0328793359431</v>
      </c>
      <c r="G22" s="604">
        <f t="shared" si="4"/>
        <v>6994.0328793359431</v>
      </c>
      <c r="H22" s="604">
        <f t="shared" si="5"/>
        <v>6994.0328793359431</v>
      </c>
      <c r="I22" s="604">
        <f t="shared" si="6"/>
        <v>6994.0328793359431</v>
      </c>
      <c r="J22" s="604">
        <f t="shared" si="7"/>
        <v>6994.0328793359431</v>
      </c>
      <c r="K22" s="604">
        <f t="shared" si="8"/>
        <v>6994.0328793359431</v>
      </c>
      <c r="L22" s="604">
        <f t="shared" si="9"/>
        <v>6994.0328793359431</v>
      </c>
      <c r="M22" s="604">
        <f t="shared" si="10"/>
        <v>6994.0328793359431</v>
      </c>
      <c r="N22" s="604">
        <f t="shared" si="11"/>
        <v>6994.0328793359431</v>
      </c>
      <c r="O22" s="605">
        <f t="shared" si="12"/>
        <v>83928.394552031299</v>
      </c>
      <c r="P22" s="606"/>
      <c r="Q22"/>
    </row>
    <row r="23" spans="1:18" s="597" customFormat="1" ht="12.75" customHeight="1" thickBot="1" x14ac:dyDescent="0.3">
      <c r="A23" s="602" t="s">
        <v>165</v>
      </c>
      <c r="B23" s="603">
        <f>FGP!U27</f>
        <v>4.8639447149885555</v>
      </c>
      <c r="C23" s="604">
        <f t="shared" si="0"/>
        <v>11483.999645517224</v>
      </c>
      <c r="D23" s="604">
        <f t="shared" si="1"/>
        <v>11483.999645517224</v>
      </c>
      <c r="E23" s="604">
        <f t="shared" si="2"/>
        <v>11483.999645517224</v>
      </c>
      <c r="F23" s="604">
        <f t="shared" si="3"/>
        <v>11483.999645517224</v>
      </c>
      <c r="G23" s="604">
        <f t="shared" si="4"/>
        <v>11483.999645517224</v>
      </c>
      <c r="H23" s="604">
        <f t="shared" si="5"/>
        <v>11483.999645517224</v>
      </c>
      <c r="I23" s="604">
        <f t="shared" si="6"/>
        <v>11483.999645517224</v>
      </c>
      <c r="J23" s="604">
        <f t="shared" si="7"/>
        <v>11483.999645517224</v>
      </c>
      <c r="K23" s="604">
        <f t="shared" si="8"/>
        <v>11483.999645517224</v>
      </c>
      <c r="L23" s="604">
        <f t="shared" si="9"/>
        <v>11483.999645517224</v>
      </c>
      <c r="M23" s="604">
        <f t="shared" si="10"/>
        <v>11483.999645517224</v>
      </c>
      <c r="N23" s="604">
        <f t="shared" si="11"/>
        <v>11483.999645517224</v>
      </c>
      <c r="O23" s="605">
        <f t="shared" si="12"/>
        <v>137807.9957462067</v>
      </c>
      <c r="P23" s="606"/>
      <c r="Q23"/>
    </row>
    <row r="24" spans="1:18" s="597" customFormat="1" ht="13.5" customHeight="1" thickBot="1" x14ac:dyDescent="0.3">
      <c r="A24" s="607" t="s">
        <v>288</v>
      </c>
      <c r="B24" s="636">
        <f>SUM(B4:B23)</f>
        <v>100</v>
      </c>
      <c r="C24" s="609">
        <f>'X22.55 POE'!B97</f>
        <v>236104.64999999997</v>
      </c>
      <c r="D24" s="609">
        <f>'X22.55 POE'!C97</f>
        <v>236104.64999999997</v>
      </c>
      <c r="E24" s="609">
        <f>'X22.55 POE'!D97</f>
        <v>236104.64999999997</v>
      </c>
      <c r="F24" s="609">
        <f>'X22.55 POE'!E97</f>
        <v>236104.64999999997</v>
      </c>
      <c r="G24" s="609">
        <f>'X22.55 POE'!F97</f>
        <v>236104.64999999997</v>
      </c>
      <c r="H24" s="609">
        <f>'X22.55 POE'!G97</f>
        <v>236104.64999999997</v>
      </c>
      <c r="I24" s="609">
        <f>'X22.55 POE'!H97</f>
        <v>236104.64999999997</v>
      </c>
      <c r="J24" s="609">
        <f>'X22.55 POE'!I97</f>
        <v>236104.64999999997</v>
      </c>
      <c r="K24" s="609">
        <f>'X22.55 POE'!J97</f>
        <v>236104.64999999997</v>
      </c>
      <c r="L24" s="609">
        <f>'X22.55 POE'!K97</f>
        <v>236104.64999999997</v>
      </c>
      <c r="M24" s="609">
        <f>'X22.55 POE'!L97</f>
        <v>236104.64999999997</v>
      </c>
      <c r="N24" s="609">
        <f>'X22.55 POE'!M97</f>
        <v>236104.64999999997</v>
      </c>
      <c r="O24" s="609">
        <f>SUM(C24:N24)</f>
        <v>2833255.7999999993</v>
      </c>
      <c r="Q24"/>
    </row>
    <row r="25" spans="1:18" s="597" customFormat="1" x14ac:dyDescent="0.25">
      <c r="A25" s="611" t="s">
        <v>289</v>
      </c>
      <c r="O25" s="606"/>
      <c r="Q25"/>
    </row>
    <row r="26" spans="1:18" s="597" customFormat="1" x14ac:dyDescent="0.25">
      <c r="Q26"/>
    </row>
    <row r="27" spans="1:18" s="597" customFormat="1" x14ac:dyDescent="0.25">
      <c r="Q27"/>
    </row>
    <row r="28" spans="1:18" s="597" customFormat="1" x14ac:dyDescent="0.25">
      <c r="C28" s="743"/>
      <c r="D28" s="743"/>
      <c r="E28" s="743"/>
      <c r="F28" s="743"/>
      <c r="G28" s="743"/>
      <c r="H28" s="743"/>
      <c r="I28" s="743"/>
      <c r="J28" s="743"/>
      <c r="K28" s="743"/>
      <c r="L28" s="743"/>
      <c r="M28" s="743"/>
      <c r="N28" s="743"/>
      <c r="O28" s="743"/>
      <c r="Q28"/>
    </row>
    <row r="29" spans="1:18" s="597" customFormat="1" ht="15.75" x14ac:dyDescent="0.25">
      <c r="A29" s="954"/>
      <c r="B29" s="954"/>
      <c r="C29" s="954"/>
      <c r="D29" s="954"/>
      <c r="E29" s="954"/>
      <c r="F29" s="954"/>
      <c r="G29" s="954"/>
      <c r="H29" s="954"/>
      <c r="I29" s="954"/>
      <c r="J29" s="954"/>
      <c r="K29" s="954"/>
      <c r="L29" s="954"/>
      <c r="M29" s="954"/>
      <c r="N29" s="954"/>
      <c r="O29" s="954"/>
      <c r="P29" s="954"/>
      <c r="Q29" s="954"/>
      <c r="R29" s="954"/>
    </row>
    <row r="30" spans="1:18" s="597" customFormat="1" x14ac:dyDescent="0.25">
      <c r="A30"/>
      <c r="B30"/>
      <c r="C30"/>
      <c r="D30"/>
      <c r="E30"/>
      <c r="F30"/>
      <c r="G30"/>
      <c r="H30"/>
      <c r="I30"/>
      <c r="J30"/>
      <c r="K30"/>
      <c r="L30"/>
      <c r="M30"/>
      <c r="N30"/>
      <c r="O30" s="606"/>
      <c r="P30"/>
      <c r="Q30"/>
    </row>
    <row r="31" spans="1:18" s="597" customFormat="1" x14ac:dyDescent="0.25">
      <c r="A31"/>
      <c r="B31"/>
      <c r="C31"/>
      <c r="D31"/>
      <c r="E31"/>
      <c r="F31"/>
      <c r="G31"/>
      <c r="H31"/>
      <c r="I31"/>
      <c r="J31"/>
      <c r="K31"/>
      <c r="L31"/>
      <c r="M31"/>
      <c r="N31"/>
      <c r="P31"/>
      <c r="Q31"/>
    </row>
    <row r="32" spans="1:18" s="597" customFormat="1" x14ac:dyDescent="0.25">
      <c r="A32"/>
      <c r="B32"/>
      <c r="C32"/>
      <c r="D32"/>
      <c r="E32"/>
      <c r="F32"/>
      <c r="G32"/>
      <c r="H32"/>
      <c r="I32"/>
      <c r="J32"/>
      <c r="K32"/>
      <c r="L32"/>
      <c r="M32"/>
      <c r="N32"/>
      <c r="P32"/>
      <c r="Q32"/>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T31"/>
  <sheetViews>
    <sheetView workbookViewId="0">
      <selection sqref="A1:O1"/>
    </sheetView>
  </sheetViews>
  <sheetFormatPr baseColWidth="10" defaultRowHeight="12.75" x14ac:dyDescent="0.2"/>
  <cols>
    <col min="1" max="1" width="16.42578125" style="597" bestFit="1" customWidth="1"/>
    <col min="2" max="2" width="9.140625" style="597" customWidth="1"/>
    <col min="3" max="10" width="9.7109375" style="597" customWidth="1"/>
    <col min="11" max="11" width="11.5703125" style="597" customWidth="1"/>
    <col min="12" max="15" width="9.7109375" style="597" customWidth="1"/>
    <col min="16" max="16" width="12.7109375" style="597" bestFit="1" customWidth="1"/>
    <col min="17" max="19" width="11.42578125" style="597"/>
    <col min="20" max="20" width="11.7109375" style="597" bestFit="1" customWidth="1"/>
    <col min="21" max="16384" width="11.42578125" style="597"/>
  </cols>
  <sheetData>
    <row r="1" spans="1:17" x14ac:dyDescent="0.2">
      <c r="A1" s="1255" t="s">
        <v>489</v>
      </c>
      <c r="B1" s="1255"/>
      <c r="C1" s="1255"/>
      <c r="D1" s="1255"/>
      <c r="E1" s="1255"/>
      <c r="F1" s="1255"/>
      <c r="G1" s="1255"/>
      <c r="H1" s="1255"/>
      <c r="I1" s="1255"/>
      <c r="J1" s="1255"/>
      <c r="K1" s="1255"/>
      <c r="L1" s="1255"/>
      <c r="M1" s="1255"/>
      <c r="N1" s="1255"/>
      <c r="O1" s="1255"/>
    </row>
    <row r="2" spans="1:17" ht="13.5" thickBot="1" x14ac:dyDescent="0.25"/>
    <row r="3" spans="1:17" ht="34.5" thickBot="1" x14ac:dyDescent="0.25">
      <c r="A3" s="893" t="s">
        <v>430</v>
      </c>
      <c r="B3" s="894" t="s">
        <v>281</v>
      </c>
      <c r="C3" s="893" t="s">
        <v>1</v>
      </c>
      <c r="D3" s="895" t="s">
        <v>2</v>
      </c>
      <c r="E3" s="893" t="s">
        <v>3</v>
      </c>
      <c r="F3" s="895" t="s">
        <v>4</v>
      </c>
      <c r="G3" s="893" t="s">
        <v>5</v>
      </c>
      <c r="H3" s="893" t="s">
        <v>6</v>
      </c>
      <c r="I3" s="893" t="s">
        <v>7</v>
      </c>
      <c r="J3" s="895" t="s">
        <v>8</v>
      </c>
      <c r="K3" s="893" t="s">
        <v>9</v>
      </c>
      <c r="L3" s="895" t="s">
        <v>10</v>
      </c>
      <c r="M3" s="893" t="s">
        <v>11</v>
      </c>
      <c r="N3" s="893" t="s">
        <v>12</v>
      </c>
      <c r="O3" s="896" t="s">
        <v>168</v>
      </c>
    </row>
    <row r="4" spans="1:17" x14ac:dyDescent="0.2">
      <c r="A4" s="602" t="s">
        <v>282</v>
      </c>
      <c r="B4" s="843">
        <f>ISR!Q7</f>
        <v>2.9638456236005406</v>
      </c>
      <c r="C4" s="604">
        <f>$C$24*B4/100</f>
        <v>668733.68933817453</v>
      </c>
      <c r="D4" s="604">
        <f>$D$24*B4/100</f>
        <v>586359.21991053817</v>
      </c>
      <c r="E4" s="604">
        <f>$E$24*B4/100</f>
        <v>536548.74188648397</v>
      </c>
      <c r="F4" s="604">
        <f>$F$24*B4/100</f>
        <v>488200.90690386482</v>
      </c>
      <c r="G4" s="604">
        <f>$G$24*B4/100</f>
        <v>451789.10008732567</v>
      </c>
      <c r="H4" s="604">
        <f>$H$24*B4/100</f>
        <v>355981.62861049914</v>
      </c>
      <c r="I4" s="604">
        <f>$I$24*B4/100</f>
        <v>447812.25677475473</v>
      </c>
      <c r="J4" s="604">
        <f>$J$24*B4/100</f>
        <v>478610.69726906897</v>
      </c>
      <c r="K4" s="604">
        <f>$K$24*B4/100</f>
        <v>517713.9109335923</v>
      </c>
      <c r="L4" s="604">
        <f>$L$24*B4/100</f>
        <v>362882.36840993061</v>
      </c>
      <c r="M4" s="604">
        <f>$M$24*B4/100</f>
        <v>585377.16654358793</v>
      </c>
      <c r="N4" s="604">
        <f>$N$24*B4/100</f>
        <v>484146.57707094721</v>
      </c>
      <c r="O4" s="605">
        <f>SUM(C4:N4)</f>
        <v>5964156.2637387682</v>
      </c>
      <c r="P4" s="606"/>
      <c r="Q4" s="606"/>
    </row>
    <row r="5" spans="1:17" x14ac:dyDescent="0.2">
      <c r="A5" s="602" t="s">
        <v>147</v>
      </c>
      <c r="B5" s="843">
        <f>ISR!Q8</f>
        <v>1.2668611874195863</v>
      </c>
      <c r="C5" s="604">
        <f t="shared" ref="C5:C23" si="0">$C$24*B5/100</f>
        <v>285842.40319279971</v>
      </c>
      <c r="D5" s="604">
        <f t="shared" ref="D5:D23" si="1">$D$24*B5/100</f>
        <v>250632.39855518338</v>
      </c>
      <c r="E5" s="604">
        <f t="shared" ref="E5:E23" si="2">$E$24*B5/100</f>
        <v>229341.49162230757</v>
      </c>
      <c r="F5" s="604">
        <f t="shared" ref="F5:F23" si="3">$F$24*B5/100</f>
        <v>208675.77437052995</v>
      </c>
      <c r="G5" s="604">
        <f t="shared" ref="G5:G23" si="4">$G$24*B5/100</f>
        <v>193111.97291866646</v>
      </c>
      <c r="H5" s="604">
        <f t="shared" ref="H5:H23" si="5">$H$24*B5/100</f>
        <v>152160.1884828253</v>
      </c>
      <c r="I5" s="604">
        <f t="shared" ref="I5:I23" si="6">$I$24*B5/100</f>
        <v>191412.11770318978</v>
      </c>
      <c r="J5" s="604">
        <f t="shared" ref="J5:J23" si="7">$J$24*B5/100</f>
        <v>204576.55129737247</v>
      </c>
      <c r="K5" s="604">
        <f t="shared" ref="K5:K23" si="8">$K$24*B5/100</f>
        <v>221290.76316471651</v>
      </c>
      <c r="L5" s="604">
        <f t="shared" ref="L5:L23" si="9">$L$24*B5/100</f>
        <v>155109.82909391794</v>
      </c>
      <c r="M5" s="604">
        <f t="shared" ref="M5:M23" si="10">$M$24*B5/100</f>
        <v>250212.63131607443</v>
      </c>
      <c r="N5" s="604">
        <f t="shared" ref="N5:N23" si="11">$N$24*B5/100</f>
        <v>206942.79844714803</v>
      </c>
      <c r="O5" s="605">
        <f t="shared" ref="O5:O23" si="12">SUM(C5:N5)</f>
        <v>2549308.9201647318</v>
      </c>
      <c r="P5" s="606"/>
      <c r="Q5" s="606"/>
    </row>
    <row r="6" spans="1:17" x14ac:dyDescent="0.2">
      <c r="A6" s="602" t="s">
        <v>148</v>
      </c>
      <c r="B6" s="843">
        <f>ISR!Q9</f>
        <v>1.6314687135080541</v>
      </c>
      <c r="C6" s="604">
        <f t="shared" si="0"/>
        <v>368108.94708431378</v>
      </c>
      <c r="D6" s="604">
        <f t="shared" si="1"/>
        <v>322765.3675831139</v>
      </c>
      <c r="E6" s="604">
        <f t="shared" si="2"/>
        <v>295346.85568288766</v>
      </c>
      <c r="F6" s="604">
        <f t="shared" si="3"/>
        <v>268733.4654604338</v>
      </c>
      <c r="G6" s="604">
        <f t="shared" si="4"/>
        <v>248690.34204319015</v>
      </c>
      <c r="H6" s="604">
        <f t="shared" si="5"/>
        <v>195952.4764168176</v>
      </c>
      <c r="I6" s="604">
        <f t="shared" si="6"/>
        <v>246501.26195368764</v>
      </c>
      <c r="J6" s="604">
        <f t="shared" si="7"/>
        <v>263454.47020826349</v>
      </c>
      <c r="K6" s="604">
        <f t="shared" si="8"/>
        <v>284979.09658667463</v>
      </c>
      <c r="L6" s="604">
        <f t="shared" si="9"/>
        <v>199751.034949416</v>
      </c>
      <c r="M6" s="604">
        <f t="shared" si="10"/>
        <v>322224.78971683886</v>
      </c>
      <c r="N6" s="604">
        <f t="shared" si="11"/>
        <v>266501.73239580402</v>
      </c>
      <c r="O6" s="605">
        <f t="shared" si="12"/>
        <v>3283009.8400814412</v>
      </c>
      <c r="P6" s="606"/>
      <c r="Q6" s="606"/>
    </row>
    <row r="7" spans="1:17" x14ac:dyDescent="0.2">
      <c r="A7" s="602" t="s">
        <v>283</v>
      </c>
      <c r="B7" s="843">
        <f>ISR!Q10</f>
        <v>17.919436698208663</v>
      </c>
      <c r="C7" s="604">
        <f t="shared" si="0"/>
        <v>4043169.7651976086</v>
      </c>
      <c r="D7" s="604">
        <f t="shared" si="1"/>
        <v>3545132.9988076454</v>
      </c>
      <c r="E7" s="604">
        <f t="shared" si="2"/>
        <v>3243978.4107440365</v>
      </c>
      <c r="F7" s="604">
        <f t="shared" si="3"/>
        <v>2951666.9753683968</v>
      </c>
      <c r="G7" s="604">
        <f t="shared" si="4"/>
        <v>2731520.8712255866</v>
      </c>
      <c r="H7" s="604">
        <f t="shared" si="5"/>
        <v>2152268.0563442223</v>
      </c>
      <c r="I7" s="604">
        <f t="shared" si="6"/>
        <v>2707476.8415936595</v>
      </c>
      <c r="J7" s="604">
        <f t="shared" si="7"/>
        <v>2893684.4835999799</v>
      </c>
      <c r="K7" s="604">
        <f t="shared" si="8"/>
        <v>3130102.8572083605</v>
      </c>
      <c r="L7" s="604">
        <f t="shared" si="9"/>
        <v>2193989.9898423986</v>
      </c>
      <c r="M7" s="604">
        <f t="shared" si="10"/>
        <v>3539195.4955169214</v>
      </c>
      <c r="N7" s="604">
        <f t="shared" si="11"/>
        <v>2927154.4615531969</v>
      </c>
      <c r="O7" s="605">
        <f t="shared" si="12"/>
        <v>36059341.207002014</v>
      </c>
      <c r="P7" s="606"/>
      <c r="Q7" s="606"/>
    </row>
    <row r="8" spans="1:17" x14ac:dyDescent="0.2">
      <c r="A8" s="602" t="s">
        <v>150</v>
      </c>
      <c r="B8" s="843">
        <f>ISR!Q11</f>
        <v>6.585053179741486</v>
      </c>
      <c r="C8" s="604">
        <f t="shared" si="0"/>
        <v>1485788.2179527828</v>
      </c>
      <c r="D8" s="604">
        <f t="shared" si="1"/>
        <v>1302769.1505915727</v>
      </c>
      <c r="E8" s="604">
        <f t="shared" si="2"/>
        <v>1192100.5502822644</v>
      </c>
      <c r="F8" s="604">
        <f t="shared" si="3"/>
        <v>1084681.6408927978</v>
      </c>
      <c r="G8" s="604">
        <f t="shared" si="4"/>
        <v>1003782.1222579164</v>
      </c>
      <c r="H8" s="604">
        <f t="shared" si="5"/>
        <v>790917.69717863679</v>
      </c>
      <c r="I8" s="604">
        <f t="shared" si="6"/>
        <v>994946.39731588482</v>
      </c>
      <c r="J8" s="604">
        <f t="shared" si="7"/>
        <v>1063374.1746917474</v>
      </c>
      <c r="K8" s="604">
        <f t="shared" si="8"/>
        <v>1150253.4437836604</v>
      </c>
      <c r="L8" s="604">
        <f t="shared" si="9"/>
        <v>806249.7165648595</v>
      </c>
      <c r="M8" s="604">
        <f t="shared" si="10"/>
        <v>1300587.2307252961</v>
      </c>
      <c r="N8" s="604">
        <f t="shared" si="11"/>
        <v>1075673.7568972942</v>
      </c>
      <c r="O8" s="605">
        <f t="shared" si="12"/>
        <v>13251124.099134715</v>
      </c>
      <c r="P8" s="606"/>
      <c r="Q8" s="606"/>
    </row>
    <row r="9" spans="1:17" x14ac:dyDescent="0.2">
      <c r="A9" s="602" t="s">
        <v>284</v>
      </c>
      <c r="B9" s="843">
        <f>ISR!Q12</f>
        <v>2.7186214679270062</v>
      </c>
      <c r="C9" s="604">
        <f t="shared" si="0"/>
        <v>613403.66370101483</v>
      </c>
      <c r="D9" s="604">
        <f t="shared" si="1"/>
        <v>537844.73471637489</v>
      </c>
      <c r="E9" s="604">
        <f t="shared" si="2"/>
        <v>492155.50117276207</v>
      </c>
      <c r="F9" s="604">
        <f t="shared" si="3"/>
        <v>447807.89377212233</v>
      </c>
      <c r="G9" s="604">
        <f t="shared" si="4"/>
        <v>414408.74541256664</v>
      </c>
      <c r="H9" s="604">
        <f t="shared" si="5"/>
        <v>326528.24088470684</v>
      </c>
      <c r="I9" s="604">
        <f t="shared" si="6"/>
        <v>410760.94016992958</v>
      </c>
      <c r="J9" s="604">
        <f t="shared" si="7"/>
        <v>439011.16374425963</v>
      </c>
      <c r="K9" s="604">
        <f t="shared" si="8"/>
        <v>474879.03597309929</v>
      </c>
      <c r="L9" s="604">
        <f t="shared" si="9"/>
        <v>332858.02379037725</v>
      </c>
      <c r="M9" s="604">
        <f t="shared" si="10"/>
        <v>536943.93497674551</v>
      </c>
      <c r="N9" s="604">
        <f t="shared" si="11"/>
        <v>444089.01312798244</v>
      </c>
      <c r="O9" s="605">
        <f t="shared" si="12"/>
        <v>5470690.8914419413</v>
      </c>
      <c r="P9" s="606"/>
      <c r="Q9" s="606"/>
    </row>
    <row r="10" spans="1:17" x14ac:dyDescent="0.2">
      <c r="A10" s="602" t="s">
        <v>152</v>
      </c>
      <c r="B10" s="843">
        <f>ISR!Q13</f>
        <v>1.1820846330401689</v>
      </c>
      <c r="C10" s="604">
        <f t="shared" si="0"/>
        <v>266714.23486713151</v>
      </c>
      <c r="D10" s="604">
        <f t="shared" si="1"/>
        <v>233860.43381559264</v>
      </c>
      <c r="E10" s="604">
        <f t="shared" si="2"/>
        <v>213994.28418628417</v>
      </c>
      <c r="F10" s="604">
        <f t="shared" si="3"/>
        <v>194711.48743107141</v>
      </c>
      <c r="G10" s="604">
        <f t="shared" si="4"/>
        <v>180189.1935044498</v>
      </c>
      <c r="H10" s="604">
        <f t="shared" si="5"/>
        <v>141977.84441751274</v>
      </c>
      <c r="I10" s="604">
        <f t="shared" si="6"/>
        <v>178603.09018976777</v>
      </c>
      <c r="J10" s="604">
        <f t="shared" si="7"/>
        <v>190886.57855368048</v>
      </c>
      <c r="K10" s="604">
        <f t="shared" si="8"/>
        <v>206482.29906194581</v>
      </c>
      <c r="L10" s="604">
        <f t="shared" si="9"/>
        <v>144730.09926120701</v>
      </c>
      <c r="M10" s="604">
        <f t="shared" si="10"/>
        <v>233468.75680493683</v>
      </c>
      <c r="N10" s="604">
        <f t="shared" si="11"/>
        <v>193094.47979929534</v>
      </c>
      <c r="O10" s="605">
        <f t="shared" si="12"/>
        <v>2378712.7818928757</v>
      </c>
      <c r="P10" s="606"/>
      <c r="Q10" s="606"/>
    </row>
    <row r="11" spans="1:17" x14ac:dyDescent="0.2">
      <c r="A11" s="602" t="s">
        <v>153</v>
      </c>
      <c r="B11" s="843">
        <f>ISR!Q14</f>
        <v>2.4453507188305617</v>
      </c>
      <c r="C11" s="604">
        <f t="shared" si="0"/>
        <v>551745.47382219473</v>
      </c>
      <c r="D11" s="604">
        <f t="shared" si="1"/>
        <v>483781.58716623252</v>
      </c>
      <c r="E11" s="604">
        <f t="shared" si="2"/>
        <v>442684.94998934597</v>
      </c>
      <c r="F11" s="604">
        <f t="shared" si="3"/>
        <v>402795.08120291971</v>
      </c>
      <c r="G11" s="604">
        <f t="shared" si="4"/>
        <v>372753.15281645523</v>
      </c>
      <c r="H11" s="604">
        <f t="shared" si="5"/>
        <v>293706.23236295854</v>
      </c>
      <c r="I11" s="604">
        <f t="shared" si="6"/>
        <v>369472.01813938731</v>
      </c>
      <c r="J11" s="604">
        <f t="shared" si="7"/>
        <v>394882.5820371586</v>
      </c>
      <c r="K11" s="604">
        <f t="shared" si="8"/>
        <v>427145.08278339013</v>
      </c>
      <c r="L11" s="604">
        <f t="shared" si="9"/>
        <v>299399.75732074725</v>
      </c>
      <c r="M11" s="604">
        <f t="shared" si="10"/>
        <v>482971.33413291693</v>
      </c>
      <c r="N11" s="604">
        <f t="shared" si="11"/>
        <v>399450.01549087459</v>
      </c>
      <c r="O11" s="605">
        <f t="shared" si="12"/>
        <v>4920787.2672645822</v>
      </c>
      <c r="P11" s="606"/>
      <c r="Q11" s="606"/>
    </row>
    <row r="12" spans="1:17" x14ac:dyDescent="0.2">
      <c r="A12" s="602" t="s">
        <v>154</v>
      </c>
      <c r="B12" s="843">
        <f>ISR!Q15</f>
        <v>2.8176339544694917</v>
      </c>
      <c r="C12" s="604">
        <f t="shared" si="0"/>
        <v>635743.89117064467</v>
      </c>
      <c r="D12" s="604">
        <f t="shared" si="1"/>
        <v>557433.09785788215</v>
      </c>
      <c r="E12" s="604">
        <f t="shared" si="2"/>
        <v>510079.85750981234</v>
      </c>
      <c r="F12" s="604">
        <f t="shared" si="3"/>
        <v>464117.10547327914</v>
      </c>
      <c r="G12" s="604">
        <f t="shared" si="4"/>
        <v>429501.55653479235</v>
      </c>
      <c r="H12" s="604">
        <f t="shared" si="5"/>
        <v>338420.4345710132</v>
      </c>
      <c r="I12" s="604">
        <f t="shared" si="6"/>
        <v>425720.89783250401</v>
      </c>
      <c r="J12" s="604">
        <f t="shared" si="7"/>
        <v>454999.99759076571</v>
      </c>
      <c r="K12" s="604">
        <f t="shared" si="8"/>
        <v>492174.18158763304</v>
      </c>
      <c r="L12" s="604">
        <f t="shared" si="9"/>
        <v>344980.74885155814</v>
      </c>
      <c r="M12" s="604">
        <f t="shared" si="10"/>
        <v>556499.49089475756</v>
      </c>
      <c r="N12" s="604">
        <f t="shared" si="11"/>
        <v>460262.78279571346</v>
      </c>
      <c r="O12" s="605">
        <f t="shared" si="12"/>
        <v>5669934.0426703552</v>
      </c>
      <c r="P12" s="606"/>
      <c r="Q12" s="606"/>
    </row>
    <row r="13" spans="1:17" x14ac:dyDescent="0.2">
      <c r="A13" s="602" t="s">
        <v>155</v>
      </c>
      <c r="B13" s="843">
        <f>ISR!Q16</f>
        <v>1.9450206334286464</v>
      </c>
      <c r="C13" s="604">
        <f t="shared" si="0"/>
        <v>438855.7938626688</v>
      </c>
      <c r="D13" s="604">
        <f t="shared" si="1"/>
        <v>384797.63326594664</v>
      </c>
      <c r="E13" s="604">
        <f t="shared" si="2"/>
        <v>352109.55843968951</v>
      </c>
      <c r="F13" s="604">
        <f t="shared" si="3"/>
        <v>320381.34160073043</v>
      </c>
      <c r="G13" s="604">
        <f t="shared" si="4"/>
        <v>296486.13093434263</v>
      </c>
      <c r="H13" s="604">
        <f t="shared" si="5"/>
        <v>233612.57659831236</v>
      </c>
      <c r="I13" s="604">
        <f t="shared" si="6"/>
        <v>293876.33161238389</v>
      </c>
      <c r="J13" s="604">
        <f t="shared" si="7"/>
        <v>314087.77641971945</v>
      </c>
      <c r="K13" s="604">
        <f t="shared" si="8"/>
        <v>339749.2200540448</v>
      </c>
      <c r="L13" s="604">
        <f t="shared" si="9"/>
        <v>238141.17997391973</v>
      </c>
      <c r="M13" s="604">
        <f t="shared" si="10"/>
        <v>384153.16175682476</v>
      </c>
      <c r="N13" s="604">
        <f t="shared" si="11"/>
        <v>317720.69182971766</v>
      </c>
      <c r="O13" s="605">
        <f t="shared" si="12"/>
        <v>3913971.3963483009</v>
      </c>
      <c r="P13" s="606"/>
      <c r="Q13" s="606"/>
    </row>
    <row r="14" spans="1:17" x14ac:dyDescent="0.2">
      <c r="A14" s="602" t="s">
        <v>156</v>
      </c>
      <c r="B14" s="843">
        <f>ISR!Q17</f>
        <v>1.636561547700581</v>
      </c>
      <c r="C14" s="604">
        <f t="shared" si="0"/>
        <v>369258.04532736557</v>
      </c>
      <c r="D14" s="604">
        <f t="shared" si="1"/>
        <v>323772.92015619157</v>
      </c>
      <c r="E14" s="604">
        <f t="shared" si="2"/>
        <v>296268.81793249946</v>
      </c>
      <c r="F14" s="604">
        <f t="shared" si="3"/>
        <v>269572.35067486751</v>
      </c>
      <c r="G14" s="604">
        <f t="shared" si="4"/>
        <v>249466.6601342588</v>
      </c>
      <c r="H14" s="604">
        <f t="shared" si="5"/>
        <v>196564.16664645125</v>
      </c>
      <c r="I14" s="604">
        <f t="shared" si="6"/>
        <v>247270.74655672326</v>
      </c>
      <c r="J14" s="604">
        <f t="shared" si="7"/>
        <v>264276.87637697608</v>
      </c>
      <c r="K14" s="604">
        <f t="shared" si="8"/>
        <v>285868.69457604166</v>
      </c>
      <c r="L14" s="604">
        <f t="shared" si="9"/>
        <v>200374.58285588829</v>
      </c>
      <c r="M14" s="604">
        <f t="shared" si="10"/>
        <v>323230.65480831283</v>
      </c>
      <c r="N14" s="604">
        <f t="shared" si="11"/>
        <v>267333.65097559377</v>
      </c>
      <c r="O14" s="605">
        <f t="shared" si="12"/>
        <v>3293258.1670211698</v>
      </c>
      <c r="P14" s="606"/>
      <c r="Q14" s="606"/>
    </row>
    <row r="15" spans="1:17" x14ac:dyDescent="0.2">
      <c r="A15" s="602" t="s">
        <v>157</v>
      </c>
      <c r="B15" s="843">
        <f>ISR!Q18</f>
        <v>1.7669693529678479</v>
      </c>
      <c r="C15" s="604">
        <f t="shared" si="0"/>
        <v>398682.0112857988</v>
      </c>
      <c r="D15" s="604">
        <f t="shared" si="1"/>
        <v>349572.44843049749</v>
      </c>
      <c r="E15" s="604">
        <f t="shared" si="2"/>
        <v>319876.70873867726</v>
      </c>
      <c r="F15" s="604">
        <f t="shared" si="3"/>
        <v>291052.9596147759</v>
      </c>
      <c r="G15" s="604">
        <f t="shared" si="4"/>
        <v>269345.16680036788</v>
      </c>
      <c r="H15" s="604">
        <f t="shared" si="5"/>
        <v>212227.18989331223</v>
      </c>
      <c r="I15" s="604">
        <f t="shared" si="6"/>
        <v>266974.27399849135</v>
      </c>
      <c r="J15" s="604">
        <f t="shared" si="7"/>
        <v>285335.52063000336</v>
      </c>
      <c r="K15" s="604">
        <f t="shared" si="8"/>
        <v>308647.86173089693</v>
      </c>
      <c r="L15" s="604">
        <f t="shared" si="9"/>
        <v>216341.23538924064</v>
      </c>
      <c r="M15" s="604">
        <f t="shared" si="10"/>
        <v>348986.97319907433</v>
      </c>
      <c r="N15" s="604">
        <f t="shared" si="11"/>
        <v>288635.87132092414</v>
      </c>
      <c r="O15" s="605">
        <f t="shared" si="12"/>
        <v>3555678.2210320602</v>
      </c>
      <c r="P15" s="606"/>
      <c r="Q15" s="606"/>
    </row>
    <row r="16" spans="1:17" x14ac:dyDescent="0.2">
      <c r="A16" s="602" t="s">
        <v>158</v>
      </c>
      <c r="B16" s="843">
        <f>ISR!Q19</f>
        <v>6.2361258764554783</v>
      </c>
      <c r="C16" s="604">
        <f t="shared" si="0"/>
        <v>1407059.6090875862</v>
      </c>
      <c r="D16" s="604">
        <f t="shared" si="1"/>
        <v>1233738.3145280792</v>
      </c>
      <c r="E16" s="604">
        <f t="shared" si="2"/>
        <v>1128933.7968936325</v>
      </c>
      <c r="F16" s="604">
        <f t="shared" si="3"/>
        <v>1027206.7762941457</v>
      </c>
      <c r="G16" s="604">
        <f t="shared" si="4"/>
        <v>950593.94299101632</v>
      </c>
      <c r="H16" s="604">
        <f t="shared" si="5"/>
        <v>749008.72975423769</v>
      </c>
      <c r="I16" s="604">
        <f t="shared" si="6"/>
        <v>942226.40343677846</v>
      </c>
      <c r="J16" s="604">
        <f t="shared" si="7"/>
        <v>1007028.3452760248</v>
      </c>
      <c r="K16" s="604">
        <f t="shared" si="8"/>
        <v>1089304.0753761858</v>
      </c>
      <c r="L16" s="604">
        <f t="shared" si="9"/>
        <v>763528.33957711456</v>
      </c>
      <c r="M16" s="604">
        <f t="shared" si="10"/>
        <v>1231672.009736449</v>
      </c>
      <c r="N16" s="604">
        <f t="shared" si="11"/>
        <v>1018676.2000112864</v>
      </c>
      <c r="O16" s="605">
        <f t="shared" si="12"/>
        <v>12548976.542962536</v>
      </c>
      <c r="P16" s="606"/>
      <c r="Q16" s="606"/>
    </row>
    <row r="17" spans="1:20" x14ac:dyDescent="0.2">
      <c r="A17" s="602" t="s">
        <v>285</v>
      </c>
      <c r="B17" s="843">
        <f>ISR!Q20</f>
        <v>1.1036563451682346</v>
      </c>
      <c r="C17" s="604">
        <f t="shared" si="0"/>
        <v>249018.42848658172</v>
      </c>
      <c r="D17" s="604">
        <f t="shared" si="1"/>
        <v>218344.39299034874</v>
      </c>
      <c r="E17" s="604">
        <f t="shared" si="2"/>
        <v>199796.3115081806</v>
      </c>
      <c r="F17" s="604">
        <f t="shared" si="3"/>
        <v>181792.87893098305</v>
      </c>
      <c r="G17" s="604">
        <f t="shared" si="4"/>
        <v>168234.10201219923</v>
      </c>
      <c r="H17" s="604">
        <f t="shared" si="5"/>
        <v>132557.97807107746</v>
      </c>
      <c r="I17" s="604">
        <f t="shared" si="6"/>
        <v>166753.23259015195</v>
      </c>
      <c r="J17" s="604">
        <f t="shared" si="7"/>
        <v>178221.74296133089</v>
      </c>
      <c r="K17" s="604">
        <f t="shared" si="8"/>
        <v>192782.72735730396</v>
      </c>
      <c r="L17" s="604">
        <f t="shared" si="9"/>
        <v>135127.62785490978</v>
      </c>
      <c r="M17" s="604">
        <f t="shared" si="10"/>
        <v>217978.70274619502</v>
      </c>
      <c r="N17" s="604">
        <f t="shared" si="11"/>
        <v>180283.15561412938</v>
      </c>
      <c r="O17" s="605">
        <f t="shared" si="12"/>
        <v>2220891.2811233918</v>
      </c>
      <c r="P17" s="606"/>
      <c r="Q17" s="606"/>
    </row>
    <row r="18" spans="1:20" x14ac:dyDescent="0.2">
      <c r="A18" s="602" t="s">
        <v>286</v>
      </c>
      <c r="B18" s="843">
        <f>ISR!Q21</f>
        <v>2.3426172251092585</v>
      </c>
      <c r="C18" s="604">
        <f t="shared" si="0"/>
        <v>528565.67399463581</v>
      </c>
      <c r="D18" s="604">
        <f t="shared" si="1"/>
        <v>463457.07000601408</v>
      </c>
      <c r="E18" s="604">
        <f t="shared" si="2"/>
        <v>424086.97499130765</v>
      </c>
      <c r="F18" s="604">
        <f t="shared" si="3"/>
        <v>385872.94990000321</v>
      </c>
      <c r="G18" s="604">
        <f t="shared" si="4"/>
        <v>357093.13587509037</v>
      </c>
      <c r="H18" s="604">
        <f t="shared" si="5"/>
        <v>281367.11587303539</v>
      </c>
      <c r="I18" s="604">
        <f t="shared" si="6"/>
        <v>353949.8474489302</v>
      </c>
      <c r="J18" s="604">
        <f t="shared" si="7"/>
        <v>378292.86877027521</v>
      </c>
      <c r="K18" s="604">
        <f t="shared" si="8"/>
        <v>409199.96499627834</v>
      </c>
      <c r="L18" s="604">
        <f t="shared" si="9"/>
        <v>286821.44581229403</v>
      </c>
      <c r="M18" s="604">
        <f t="shared" si="10"/>
        <v>462680.85713072971</v>
      </c>
      <c r="N18" s="604">
        <f t="shared" si="11"/>
        <v>382668.41629432602</v>
      </c>
      <c r="O18" s="605">
        <f t="shared" si="12"/>
        <v>4714056.3210929204</v>
      </c>
      <c r="P18" s="606"/>
      <c r="Q18" s="606"/>
    </row>
    <row r="19" spans="1:20" x14ac:dyDescent="0.2">
      <c r="A19" s="602" t="s">
        <v>287</v>
      </c>
      <c r="B19" s="843">
        <f>ISR!Q22</f>
        <v>8.2233574776397411</v>
      </c>
      <c r="C19" s="604">
        <f t="shared" si="0"/>
        <v>1855439.4807136089</v>
      </c>
      <c r="D19" s="604">
        <f t="shared" si="1"/>
        <v>1626886.8517438695</v>
      </c>
      <c r="E19" s="604">
        <f t="shared" si="2"/>
        <v>1488684.8604990242</v>
      </c>
      <c r="F19" s="604">
        <f t="shared" si="3"/>
        <v>1354541.055178616</v>
      </c>
      <c r="G19" s="604">
        <f t="shared" si="4"/>
        <v>1253514.4357505061</v>
      </c>
      <c r="H19" s="604">
        <f t="shared" si="5"/>
        <v>987691.18210019963</v>
      </c>
      <c r="I19" s="604">
        <f t="shared" si="6"/>
        <v>1242480.4588350342</v>
      </c>
      <c r="J19" s="604">
        <f t="shared" si="7"/>
        <v>1327932.4756073812</v>
      </c>
      <c r="K19" s="604">
        <f t="shared" si="8"/>
        <v>1436426.5557063527</v>
      </c>
      <c r="L19" s="604">
        <f t="shared" si="9"/>
        <v>1006837.6753517487</v>
      </c>
      <c r="M19" s="604">
        <f t="shared" si="10"/>
        <v>1624162.0890793619</v>
      </c>
      <c r="N19" s="604">
        <f t="shared" si="11"/>
        <v>1343292.0875256252</v>
      </c>
      <c r="O19" s="605">
        <f t="shared" si="12"/>
        <v>16547889.208091324</v>
      </c>
      <c r="P19" s="606"/>
      <c r="Q19" s="606"/>
    </row>
    <row r="20" spans="1:20" x14ac:dyDescent="0.2">
      <c r="A20" s="602" t="s">
        <v>162</v>
      </c>
      <c r="B20" s="843">
        <f>ISR!Q23</f>
        <v>0.12512339536434061</v>
      </c>
      <c r="C20" s="604">
        <f t="shared" si="0"/>
        <v>28231.642410195902</v>
      </c>
      <c r="D20" s="604">
        <f t="shared" si="1"/>
        <v>24754.074879670876</v>
      </c>
      <c r="E20" s="604">
        <f t="shared" si="2"/>
        <v>22651.247362116435</v>
      </c>
      <c r="F20" s="604">
        <f t="shared" si="3"/>
        <v>20610.167616474631</v>
      </c>
      <c r="G20" s="604">
        <f t="shared" si="4"/>
        <v>19072.986035910006</v>
      </c>
      <c r="H20" s="604">
        <f t="shared" si="5"/>
        <v>15028.323238024544</v>
      </c>
      <c r="I20" s="604">
        <f t="shared" si="6"/>
        <v>18905.097352997993</v>
      </c>
      <c r="J20" s="604">
        <f t="shared" si="7"/>
        <v>20205.301862939283</v>
      </c>
      <c r="K20" s="604">
        <f t="shared" si="8"/>
        <v>21856.10540830703</v>
      </c>
      <c r="L20" s="604">
        <f t="shared" si="9"/>
        <v>15319.648800785055</v>
      </c>
      <c r="M20" s="604">
        <f t="shared" si="10"/>
        <v>24712.615955250742</v>
      </c>
      <c r="N20" s="604">
        <f t="shared" si="11"/>
        <v>20439.007718475179</v>
      </c>
      <c r="O20" s="605">
        <f t="shared" si="12"/>
        <v>251786.21864114766</v>
      </c>
      <c r="P20" s="606"/>
      <c r="Q20" s="606"/>
    </row>
    <row r="21" spans="1:20" x14ac:dyDescent="0.2">
      <c r="A21" s="602" t="s">
        <v>163</v>
      </c>
      <c r="B21" s="843">
        <f>ISR!Q24</f>
        <v>27.055570008526342</v>
      </c>
      <c r="C21" s="604">
        <f t="shared" si="0"/>
        <v>6104559.2269982584</v>
      </c>
      <c r="D21" s="604">
        <f t="shared" si="1"/>
        <v>5352600.9580627885</v>
      </c>
      <c r="E21" s="604">
        <f t="shared" si="2"/>
        <v>4897904.2408630569</v>
      </c>
      <c r="F21" s="604">
        <f t="shared" si="3"/>
        <v>4456559.312599265</v>
      </c>
      <c r="G21" s="604">
        <f t="shared" si="4"/>
        <v>4124172.8412468736</v>
      </c>
      <c r="H21" s="604">
        <f t="shared" si="5"/>
        <v>3249590.9361568904</v>
      </c>
      <c r="I21" s="604">
        <f t="shared" si="6"/>
        <v>4087870.085867364</v>
      </c>
      <c r="J21" s="604">
        <f t="shared" si="7"/>
        <v>4369014.7434406811</v>
      </c>
      <c r="K21" s="604">
        <f t="shared" si="8"/>
        <v>4725969.8177652499</v>
      </c>
      <c r="L21" s="604">
        <f t="shared" si="9"/>
        <v>3312584.5844317731</v>
      </c>
      <c r="M21" s="604">
        <f t="shared" si="10"/>
        <v>5343636.2490340667</v>
      </c>
      <c r="N21" s="604">
        <f t="shared" si="11"/>
        <v>4419549.2187675545</v>
      </c>
      <c r="O21" s="605">
        <f t="shared" si="12"/>
        <v>54444012.215233825</v>
      </c>
      <c r="P21" s="606"/>
      <c r="Q21" s="606"/>
      <c r="T21" s="606"/>
    </row>
    <row r="22" spans="1:20" x14ac:dyDescent="0.2">
      <c r="A22" s="602" t="s">
        <v>164</v>
      </c>
      <c r="B22" s="843">
        <f>ISR!Q25</f>
        <v>3.411784960531373</v>
      </c>
      <c r="C22" s="604">
        <f t="shared" si="0"/>
        <v>769802.4234855182</v>
      </c>
      <c r="D22" s="604">
        <f t="shared" si="1"/>
        <v>674978.32951548789</v>
      </c>
      <c r="E22" s="604">
        <f t="shared" si="2"/>
        <v>617639.76962352672</v>
      </c>
      <c r="F22" s="604">
        <f t="shared" si="3"/>
        <v>561984.90860294318</v>
      </c>
      <c r="G22" s="604">
        <f t="shared" si="4"/>
        <v>520070.02143971575</v>
      </c>
      <c r="H22" s="604">
        <f t="shared" si="5"/>
        <v>409782.73532456328</v>
      </c>
      <c r="I22" s="604">
        <f t="shared" si="6"/>
        <v>515492.13988739112</v>
      </c>
      <c r="J22" s="604">
        <f t="shared" si="7"/>
        <v>550945.28739602247</v>
      </c>
      <c r="K22" s="604">
        <f t="shared" si="8"/>
        <v>595958.34584506368</v>
      </c>
      <c r="L22" s="604">
        <f t="shared" si="9"/>
        <v>417726.41500773089</v>
      </c>
      <c r="M22" s="604">
        <f t="shared" si="10"/>
        <v>673847.85400046094</v>
      </c>
      <c r="N22" s="604">
        <f t="shared" si="11"/>
        <v>557317.82964348712</v>
      </c>
      <c r="O22" s="605">
        <f t="shared" si="12"/>
        <v>6865546.0597719122</v>
      </c>
      <c r="P22" s="606"/>
      <c r="Q22" s="606"/>
      <c r="T22" s="606"/>
    </row>
    <row r="23" spans="1:20" ht="13.5" thickBot="1" x14ac:dyDescent="0.25">
      <c r="A23" s="602" t="s">
        <v>165</v>
      </c>
      <c r="B23" s="843">
        <f>ISR!Q26</f>
        <v>6.6228570003625986</v>
      </c>
      <c r="C23" s="604">
        <f t="shared" si="0"/>
        <v>1494317.9093219044</v>
      </c>
      <c r="D23" s="604">
        <f t="shared" si="1"/>
        <v>1310248.156445496</v>
      </c>
      <c r="E23" s="604">
        <f t="shared" si="2"/>
        <v>1198944.2239983466</v>
      </c>
      <c r="F23" s="604">
        <f t="shared" si="3"/>
        <v>1090908.6384680758</v>
      </c>
      <c r="G23" s="604">
        <f t="shared" si="4"/>
        <v>1009544.6876095918</v>
      </c>
      <c r="H23" s="604">
        <f t="shared" si="5"/>
        <v>795458.23921134043</v>
      </c>
      <c r="I23" s="604">
        <f t="shared" si="6"/>
        <v>1000658.2380717749</v>
      </c>
      <c r="J23" s="604">
        <f t="shared" si="7"/>
        <v>1069478.8492412015</v>
      </c>
      <c r="K23" s="604">
        <f t="shared" si="8"/>
        <v>1156856.8794235412</v>
      </c>
      <c r="L23" s="604">
        <f t="shared" si="9"/>
        <v>810878.27746313869</v>
      </c>
      <c r="M23" s="604">
        <f t="shared" si="10"/>
        <v>1308053.7104985663</v>
      </c>
      <c r="N23" s="604">
        <f t="shared" si="11"/>
        <v>1081849.0415370122</v>
      </c>
      <c r="O23" s="605">
        <f t="shared" si="12"/>
        <v>13327196.851289989</v>
      </c>
      <c r="P23" s="606"/>
      <c r="Q23" s="606"/>
      <c r="T23" s="606"/>
    </row>
    <row r="24" spans="1:20" ht="13.5" thickBot="1" x14ac:dyDescent="0.25">
      <c r="A24" s="607" t="s">
        <v>288</v>
      </c>
      <c r="B24" s="844">
        <f>SUM(B4:B23)</f>
        <v>100.00000000000001</v>
      </c>
      <c r="C24" s="609">
        <f>'X22.55 POE'!B122</f>
        <v>22563040.531300787</v>
      </c>
      <c r="D24" s="609">
        <f>'X22.55 POE'!C122</f>
        <v>19783730.139028527</v>
      </c>
      <c r="E24" s="609">
        <f>'X22.55 POE'!D122</f>
        <v>18103127.153926242</v>
      </c>
      <c r="F24" s="609">
        <f>'X22.55 POE'!E122</f>
        <v>16471873.670356296</v>
      </c>
      <c r="G24" s="609">
        <f>'X22.55 POE'!F122</f>
        <v>15243341.167630821</v>
      </c>
      <c r="H24" s="609">
        <f>'X22.55 POE'!G122</f>
        <v>12010801.972136637</v>
      </c>
      <c r="I24" s="609">
        <f>'X22.55 POE'!H122</f>
        <v>15109162.677330786</v>
      </c>
      <c r="J24" s="609">
        <f>'X22.55 POE'!I122</f>
        <v>16148300.486974852</v>
      </c>
      <c r="K24" s="609">
        <f>'X22.55 POE'!J122</f>
        <v>17467640.919322338</v>
      </c>
      <c r="L24" s="609">
        <f>'X22.55 POE'!K122</f>
        <v>12243632.580602955</v>
      </c>
      <c r="M24" s="609">
        <f>'X22.55 POE'!L122</f>
        <v>19750595.708573367</v>
      </c>
      <c r="N24" s="609">
        <f>'X22.55 POE'!M122</f>
        <v>16335080.788816389</v>
      </c>
      <c r="O24" s="609">
        <f>SUM(C24:N24)</f>
        <v>201230327.796</v>
      </c>
      <c r="P24" s="606"/>
      <c r="Q24" s="606"/>
      <c r="T24" s="606"/>
    </row>
    <row r="25" spans="1:20" x14ac:dyDescent="0.2">
      <c r="A25" s="611" t="s">
        <v>289</v>
      </c>
    </row>
    <row r="27" spans="1:20" x14ac:dyDescent="0.2">
      <c r="N27" s="711"/>
      <c r="O27" s="711"/>
      <c r="Q27" s="711"/>
    </row>
    <row r="29" spans="1:20" x14ac:dyDescent="0.2">
      <c r="Q29" s="711"/>
    </row>
    <row r="31" spans="1:20" x14ac:dyDescent="0.2">
      <c r="C31" s="711"/>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T31"/>
  <sheetViews>
    <sheetView workbookViewId="0">
      <selection sqref="A1:O1"/>
    </sheetView>
  </sheetViews>
  <sheetFormatPr baseColWidth="10" defaultRowHeight="12.75" x14ac:dyDescent="0.2"/>
  <cols>
    <col min="1" max="1" width="16.42578125" style="597" bestFit="1" customWidth="1"/>
    <col min="2" max="2" width="9.140625" style="597" hidden="1" customWidth="1"/>
    <col min="3" max="10" width="9.7109375" style="597" customWidth="1"/>
    <col min="11" max="11" width="11.5703125" style="597" customWidth="1"/>
    <col min="12" max="15" width="9.7109375" style="597" customWidth="1"/>
    <col min="16" max="16" width="12.7109375" style="597" bestFit="1" customWidth="1"/>
    <col min="17" max="19" width="11.42578125" style="597"/>
    <col min="20" max="20" width="11.7109375" style="597" bestFit="1" customWidth="1"/>
    <col min="21" max="16384" width="11.42578125" style="597"/>
  </cols>
  <sheetData>
    <row r="1" spans="1:17" x14ac:dyDescent="0.2">
      <c r="A1" s="1255" t="s">
        <v>490</v>
      </c>
      <c r="B1" s="1255"/>
      <c r="C1" s="1255"/>
      <c r="D1" s="1255"/>
      <c r="E1" s="1255"/>
      <c r="F1" s="1255"/>
      <c r="G1" s="1255"/>
      <c r="H1" s="1255"/>
      <c r="I1" s="1255"/>
      <c r="J1" s="1255"/>
      <c r="K1" s="1255"/>
      <c r="L1" s="1255"/>
      <c r="M1" s="1255"/>
      <c r="N1" s="1255"/>
      <c r="O1" s="1255"/>
    </row>
    <row r="2" spans="1:17" ht="13.5" thickBot="1" x14ac:dyDescent="0.25"/>
    <row r="3" spans="1:17" ht="34.5" thickBot="1" x14ac:dyDescent="0.25">
      <c r="A3" s="893" t="s">
        <v>343</v>
      </c>
      <c r="B3" s="894" t="s">
        <v>281</v>
      </c>
      <c r="C3" s="893" t="s">
        <v>1</v>
      </c>
      <c r="D3" s="895" t="s">
        <v>2</v>
      </c>
      <c r="E3" s="893" t="s">
        <v>3</v>
      </c>
      <c r="F3" s="895" t="s">
        <v>4</v>
      </c>
      <c r="G3" s="893" t="s">
        <v>5</v>
      </c>
      <c r="H3" s="893" t="s">
        <v>6</v>
      </c>
      <c r="I3" s="893" t="s">
        <v>7</v>
      </c>
      <c r="J3" s="895" t="s">
        <v>8</v>
      </c>
      <c r="K3" s="893" t="s">
        <v>9</v>
      </c>
      <c r="L3" s="895" t="s">
        <v>10</v>
      </c>
      <c r="M3" s="893" t="s">
        <v>11</v>
      </c>
      <c r="N3" s="893" t="s">
        <v>12</v>
      </c>
      <c r="O3" s="896" t="s">
        <v>168</v>
      </c>
    </row>
    <row r="4" spans="1:17" x14ac:dyDescent="0.2">
      <c r="A4" s="602" t="s">
        <v>282</v>
      </c>
      <c r="B4" s="843">
        <f>'ISR Enaje'!T9</f>
        <v>3.7409604047338894</v>
      </c>
      <c r="C4" s="604">
        <f>$C$24*B4/100</f>
        <v>208163.51783139777</v>
      </c>
      <c r="D4" s="604">
        <f>$D$24*B4/100</f>
        <v>41010.851869978789</v>
      </c>
      <c r="E4" s="604">
        <f>$E$24*B4/100</f>
        <v>29348.93959881931</v>
      </c>
      <c r="F4" s="604">
        <f>$F$24*B4/100</f>
        <v>91371.77546548337</v>
      </c>
      <c r="G4" s="604">
        <f>$G$24*B4/100</f>
        <v>262705.29284920829</v>
      </c>
      <c r="H4" s="604">
        <f>$H$24*B4/100</f>
        <v>131835.92035239679</v>
      </c>
      <c r="I4" s="604">
        <f>$I$24*B4/100</f>
        <v>130477.82970567615</v>
      </c>
      <c r="J4" s="604">
        <f>$J$24*B4/100</f>
        <v>90360.207317752778</v>
      </c>
      <c r="K4" s="604">
        <f>$K$24*B4/100</f>
        <v>78395.115866115622</v>
      </c>
      <c r="L4" s="604">
        <f>$L$24*B4/100</f>
        <v>69381.280748673496</v>
      </c>
      <c r="M4" s="604">
        <f>$M$24*B4/100</f>
        <v>87437.846529232658</v>
      </c>
      <c r="N4" s="604">
        <f>$N$24*B4/100</f>
        <v>88847.563522126205</v>
      </c>
      <c r="O4" s="605">
        <f>SUM(C4:N4)</f>
        <v>1309336.1416568612</v>
      </c>
      <c r="P4" s="606"/>
      <c r="Q4" s="606"/>
    </row>
    <row r="5" spans="1:17" x14ac:dyDescent="0.2">
      <c r="A5" s="602" t="s">
        <v>147</v>
      </c>
      <c r="B5" s="843">
        <f>'ISR Enaje'!T10</f>
        <v>3.1434770533559675</v>
      </c>
      <c r="C5" s="604">
        <f t="shared" ref="C5:C23" si="0">$C$24*B5/100</f>
        <v>174916.91193010687</v>
      </c>
      <c r="D5" s="604">
        <f t="shared" ref="D5:D23" si="1">$D$24*B5/100</f>
        <v>34460.849045267933</v>
      </c>
      <c r="E5" s="604">
        <f t="shared" ref="E5:E23" si="2">$E$24*B5/100</f>
        <v>24661.506187682171</v>
      </c>
      <c r="F5" s="604">
        <f t="shared" ref="F5:F23" si="3">$F$24*B5/100</f>
        <v>76778.433457002146</v>
      </c>
      <c r="G5" s="604">
        <f t="shared" ref="G5:G23" si="4">$G$24*B5/100</f>
        <v>220747.60770567122</v>
      </c>
      <c r="H5" s="604">
        <f t="shared" ref="H5:H23" si="5">$H$24*B5/100</f>
        <v>110779.89222003114</v>
      </c>
      <c r="I5" s="604">
        <f t="shared" ref="I5:I23" si="6">$I$24*B5/100</f>
        <v>109638.70751811838</v>
      </c>
      <c r="J5" s="604">
        <f t="shared" ref="J5:J23" si="7">$J$24*B5/100</f>
        <v>75928.426796607382</v>
      </c>
      <c r="K5" s="604">
        <f t="shared" ref="K5:K23" si="8">$K$24*B5/100</f>
        <v>65874.326685862557</v>
      </c>
      <c r="L5" s="604">
        <f t="shared" ref="L5:L23" si="9">$L$24*B5/100</f>
        <v>58300.126269691849</v>
      </c>
      <c r="M5" s="604">
        <f t="shared" ref="M5:M23" si="10">$M$24*B5/100</f>
        <v>73472.807627605842</v>
      </c>
      <c r="N5" s="604">
        <f t="shared" ref="N5:N23" si="11">$N$24*B5/100</f>
        <v>74657.373230941099</v>
      </c>
      <c r="O5" s="605">
        <f t="shared" ref="O5:O23" si="12">SUM(C5:N5)</f>
        <v>1100216.9686745887</v>
      </c>
      <c r="P5" s="606"/>
      <c r="Q5" s="606"/>
    </row>
    <row r="6" spans="1:17" x14ac:dyDescent="0.2">
      <c r="A6" s="602" t="s">
        <v>148</v>
      </c>
      <c r="B6" s="843">
        <f>'ISR Enaje'!T11</f>
        <v>2.6603597159645078</v>
      </c>
      <c r="C6" s="604">
        <f t="shared" si="0"/>
        <v>148034.13488988896</v>
      </c>
      <c r="D6" s="604">
        <f t="shared" si="1"/>
        <v>29164.601179477144</v>
      </c>
      <c r="E6" s="604">
        <f t="shared" si="2"/>
        <v>20871.307944390959</v>
      </c>
      <c r="F6" s="604">
        <f t="shared" si="3"/>
        <v>64978.445192022176</v>
      </c>
      <c r="G6" s="604">
        <f t="shared" si="4"/>
        <v>186821.16426100151</v>
      </c>
      <c r="H6" s="604">
        <f t="shared" si="5"/>
        <v>93754.259248186514</v>
      </c>
      <c r="I6" s="604">
        <f t="shared" si="6"/>
        <v>92788.46189770085</v>
      </c>
      <c r="J6" s="604">
        <f t="shared" si="7"/>
        <v>64259.075068037469</v>
      </c>
      <c r="K6" s="604">
        <f t="shared" si="8"/>
        <v>55750.177926146687</v>
      </c>
      <c r="L6" s="604">
        <f t="shared" si="9"/>
        <v>49340.047575008932</v>
      </c>
      <c r="M6" s="604">
        <f t="shared" si="10"/>
        <v>62180.857157081991</v>
      </c>
      <c r="N6" s="604">
        <f t="shared" si="11"/>
        <v>63183.368248634542</v>
      </c>
      <c r="O6" s="605">
        <f t="shared" si="12"/>
        <v>931125.90058757761</v>
      </c>
      <c r="P6" s="606"/>
      <c r="Q6" s="606"/>
    </row>
    <row r="7" spans="1:17" x14ac:dyDescent="0.2">
      <c r="A7" s="602" t="s">
        <v>283</v>
      </c>
      <c r="B7" s="843">
        <f>'ISR Enaje'!T12</f>
        <v>10.664297612988729</v>
      </c>
      <c r="C7" s="604">
        <f t="shared" si="0"/>
        <v>593408.50106608507</v>
      </c>
      <c r="D7" s="604">
        <f t="shared" si="1"/>
        <v>116908.99725915703</v>
      </c>
      <c r="E7" s="604">
        <f t="shared" si="2"/>
        <v>83664.565417848411</v>
      </c>
      <c r="F7" s="604">
        <f t="shared" si="3"/>
        <v>260472.09849055082</v>
      </c>
      <c r="G7" s="604">
        <f t="shared" si="4"/>
        <v>748889.89038915117</v>
      </c>
      <c r="H7" s="604">
        <f t="shared" si="5"/>
        <v>375822.60666034714</v>
      </c>
      <c r="I7" s="604">
        <f t="shared" si="6"/>
        <v>371951.11878688075</v>
      </c>
      <c r="J7" s="604">
        <f t="shared" si="7"/>
        <v>257588.43691274643</v>
      </c>
      <c r="K7" s="604">
        <f t="shared" si="8"/>
        <v>223479.7368993971</v>
      </c>
      <c r="L7" s="604">
        <f t="shared" si="9"/>
        <v>197784.13739367339</v>
      </c>
      <c r="M7" s="604">
        <f t="shared" si="10"/>
        <v>249257.70848753498</v>
      </c>
      <c r="N7" s="604">
        <f t="shared" si="11"/>
        <v>253276.36678268306</v>
      </c>
      <c r="O7" s="605">
        <f t="shared" si="12"/>
        <v>3732504.1645460553</v>
      </c>
      <c r="P7" s="606"/>
      <c r="Q7" s="606"/>
    </row>
    <row r="8" spans="1:17" x14ac:dyDescent="0.2">
      <c r="A8" s="602" t="s">
        <v>150</v>
      </c>
      <c r="B8" s="843">
        <f>'ISR Enaje'!T13</f>
        <v>6.2620312493312147</v>
      </c>
      <c r="C8" s="604">
        <f t="shared" si="0"/>
        <v>348447.00627716316</v>
      </c>
      <c r="D8" s="604">
        <f t="shared" si="1"/>
        <v>68648.477446199744</v>
      </c>
      <c r="E8" s="604">
        <f t="shared" si="2"/>
        <v>49127.485196041307</v>
      </c>
      <c r="F8" s="604">
        <f t="shared" si="3"/>
        <v>152948.13399994624</v>
      </c>
      <c r="G8" s="604">
        <f t="shared" si="4"/>
        <v>439745.03207912756</v>
      </c>
      <c r="H8" s="604">
        <f t="shared" si="5"/>
        <v>220681.47312822883</v>
      </c>
      <c r="I8" s="604">
        <f t="shared" si="6"/>
        <v>218408.15153454733</v>
      </c>
      <c r="J8" s="604">
        <f t="shared" si="7"/>
        <v>151254.85990276487</v>
      </c>
      <c r="K8" s="604">
        <f t="shared" si="8"/>
        <v>131226.37297292595</v>
      </c>
      <c r="L8" s="604">
        <f t="shared" si="9"/>
        <v>116138.02370563213</v>
      </c>
      <c r="M8" s="604">
        <f t="shared" si="10"/>
        <v>146363.09078476613</v>
      </c>
      <c r="N8" s="604">
        <f t="shared" si="11"/>
        <v>148722.83023858181</v>
      </c>
      <c r="O8" s="605">
        <f t="shared" si="12"/>
        <v>2191710.9372659251</v>
      </c>
      <c r="P8" s="606"/>
      <c r="Q8" s="606"/>
    </row>
    <row r="9" spans="1:17" x14ac:dyDescent="0.2">
      <c r="A9" s="602" t="s">
        <v>284</v>
      </c>
      <c r="B9" s="843">
        <f>'ISR Enaje'!T14</f>
        <v>4.4840019348333104</v>
      </c>
      <c r="C9" s="604">
        <f t="shared" si="0"/>
        <v>249509.62205762591</v>
      </c>
      <c r="D9" s="604">
        <f t="shared" si="1"/>
        <v>49156.558540808262</v>
      </c>
      <c r="E9" s="604">
        <f t="shared" si="2"/>
        <v>35178.319925514712</v>
      </c>
      <c r="F9" s="604">
        <f t="shared" si="3"/>
        <v>109520.32998208833</v>
      </c>
      <c r="G9" s="604">
        <f t="shared" si="4"/>
        <v>314884.65901327698</v>
      </c>
      <c r="H9" s="604">
        <f t="shared" si="5"/>
        <v>158021.59284889002</v>
      </c>
      <c r="I9" s="604">
        <f t="shared" si="6"/>
        <v>156393.7538907796</v>
      </c>
      <c r="J9" s="604">
        <f t="shared" si="7"/>
        <v>108307.8409309078</v>
      </c>
      <c r="K9" s="604">
        <f t="shared" si="8"/>
        <v>93966.204715858097</v>
      </c>
      <c r="L9" s="604">
        <f t="shared" si="9"/>
        <v>83162.012814833666</v>
      </c>
      <c r="M9" s="604">
        <f t="shared" si="10"/>
        <v>104805.03148833168</v>
      </c>
      <c r="N9" s="604">
        <f t="shared" si="11"/>
        <v>106494.75098274363</v>
      </c>
      <c r="O9" s="605">
        <f t="shared" si="12"/>
        <v>1569400.6771916586</v>
      </c>
      <c r="P9" s="606"/>
      <c r="Q9" s="606"/>
    </row>
    <row r="10" spans="1:17" x14ac:dyDescent="0.2">
      <c r="A10" s="602" t="s">
        <v>152</v>
      </c>
      <c r="B10" s="843">
        <f>'ISR Enaje'!T15</f>
        <v>2.8247488936015976</v>
      </c>
      <c r="C10" s="604">
        <f t="shared" si="0"/>
        <v>157181.4729550138</v>
      </c>
      <c r="D10" s="604">
        <f t="shared" si="1"/>
        <v>30966.742737717424</v>
      </c>
      <c r="E10" s="604">
        <f t="shared" si="2"/>
        <v>22160.989609843851</v>
      </c>
      <c r="F10" s="604">
        <f t="shared" si="3"/>
        <v>68993.598896670941</v>
      </c>
      <c r="G10" s="604">
        <f t="shared" si="4"/>
        <v>198365.23379933284</v>
      </c>
      <c r="H10" s="604">
        <f t="shared" si="5"/>
        <v>99547.530543529472</v>
      </c>
      <c r="I10" s="604">
        <f t="shared" si="6"/>
        <v>98522.054559640324</v>
      </c>
      <c r="J10" s="604">
        <f t="shared" si="7"/>
        <v>68229.777391773765</v>
      </c>
      <c r="K10" s="604">
        <f t="shared" si="8"/>
        <v>59195.097741840873</v>
      </c>
      <c r="L10" s="604">
        <f t="shared" si="9"/>
        <v>52388.872061696813</v>
      </c>
      <c r="M10" s="604">
        <f t="shared" si="10"/>
        <v>66023.142059940001</v>
      </c>
      <c r="N10" s="604">
        <f t="shared" si="11"/>
        <v>67087.600403559045</v>
      </c>
      <c r="O10" s="605">
        <f t="shared" si="12"/>
        <v>988662.11276055919</v>
      </c>
      <c r="P10" s="606"/>
      <c r="Q10" s="606"/>
    </row>
    <row r="11" spans="1:17" x14ac:dyDescent="0.2">
      <c r="A11" s="602" t="s">
        <v>153</v>
      </c>
      <c r="B11" s="843">
        <f>'ISR Enaje'!T16</f>
        <v>3.283083345062396</v>
      </c>
      <c r="C11" s="604">
        <f t="shared" si="0"/>
        <v>182685.22104031077</v>
      </c>
      <c r="D11" s="604">
        <f t="shared" si="1"/>
        <v>35991.304417648884</v>
      </c>
      <c r="E11" s="604">
        <f t="shared" si="2"/>
        <v>25756.758791190699</v>
      </c>
      <c r="F11" s="604">
        <f t="shared" si="3"/>
        <v>80188.273006019226</v>
      </c>
      <c r="G11" s="604">
        <f t="shared" si="4"/>
        <v>230551.32327024115</v>
      </c>
      <c r="H11" s="604">
        <f t="shared" si="5"/>
        <v>115699.78496490273</v>
      </c>
      <c r="I11" s="604">
        <f t="shared" si="6"/>
        <v>114507.91862552866</v>
      </c>
      <c r="J11" s="604">
        <f t="shared" si="7"/>
        <v>79300.516339574067</v>
      </c>
      <c r="K11" s="604">
        <f t="shared" si="8"/>
        <v>68799.899327613821</v>
      </c>
      <c r="L11" s="604">
        <f t="shared" si="9"/>
        <v>60889.317886611381</v>
      </c>
      <c r="M11" s="604">
        <f t="shared" si="10"/>
        <v>76735.839626900764</v>
      </c>
      <c r="N11" s="604">
        <f t="shared" si="11"/>
        <v>77973.013475296408</v>
      </c>
      <c r="O11" s="605">
        <f t="shared" si="12"/>
        <v>1149079.1707718384</v>
      </c>
      <c r="P11" s="606"/>
      <c r="Q11" s="606"/>
    </row>
    <row r="12" spans="1:17" x14ac:dyDescent="0.2">
      <c r="A12" s="602" t="s">
        <v>154</v>
      </c>
      <c r="B12" s="843">
        <f>'ISR Enaje'!T17</f>
        <v>3.2145773533348407</v>
      </c>
      <c r="C12" s="604">
        <f t="shared" si="0"/>
        <v>178873.24585541149</v>
      </c>
      <c r="D12" s="604">
        <f t="shared" si="1"/>
        <v>35240.296982395201</v>
      </c>
      <c r="E12" s="604">
        <f t="shared" si="2"/>
        <v>25219.309046781484</v>
      </c>
      <c r="F12" s="604">
        <f t="shared" si="3"/>
        <v>78515.035811033275</v>
      </c>
      <c r="G12" s="604">
        <f t="shared" si="4"/>
        <v>225740.5568702709</v>
      </c>
      <c r="H12" s="604">
        <f t="shared" si="5"/>
        <v>113285.55185577193</v>
      </c>
      <c r="I12" s="604">
        <f t="shared" si="6"/>
        <v>112118.55542587131</v>
      </c>
      <c r="J12" s="604">
        <f t="shared" si="7"/>
        <v>77645.803392819289</v>
      </c>
      <c r="K12" s="604">
        <f t="shared" si="8"/>
        <v>67364.29601243067</v>
      </c>
      <c r="L12" s="604">
        <f t="shared" si="9"/>
        <v>59618.779594091306</v>
      </c>
      <c r="M12" s="604">
        <f t="shared" si="10"/>
        <v>75134.642142044482</v>
      </c>
      <c r="N12" s="604">
        <f t="shared" si="11"/>
        <v>76346.000678272903</v>
      </c>
      <c r="O12" s="605">
        <f t="shared" si="12"/>
        <v>1125102.0736671942</v>
      </c>
      <c r="P12" s="606"/>
      <c r="Q12" s="606"/>
    </row>
    <row r="13" spans="1:17" x14ac:dyDescent="0.2">
      <c r="A13" s="602" t="s">
        <v>155</v>
      </c>
      <c r="B13" s="843">
        <f>'ISR Enaje'!T18</f>
        <v>2.8913882559426334</v>
      </c>
      <c r="C13" s="604">
        <f t="shared" si="0"/>
        <v>160889.58065735607</v>
      </c>
      <c r="D13" s="604">
        <f t="shared" si="1"/>
        <v>31697.286962195114</v>
      </c>
      <c r="E13" s="604">
        <f t="shared" si="2"/>
        <v>22683.795095241661</v>
      </c>
      <c r="F13" s="604">
        <f t="shared" si="3"/>
        <v>70621.244258884093</v>
      </c>
      <c r="G13" s="604">
        <f t="shared" si="4"/>
        <v>203044.91797266257</v>
      </c>
      <c r="H13" s="604">
        <f t="shared" si="5"/>
        <v>101895.98139984166</v>
      </c>
      <c r="I13" s="604">
        <f t="shared" si="6"/>
        <v>100846.31315383068</v>
      </c>
      <c r="J13" s="604">
        <f t="shared" si="7"/>
        <v>69839.403248556177</v>
      </c>
      <c r="K13" s="604">
        <f t="shared" si="8"/>
        <v>60591.584196324256</v>
      </c>
      <c r="L13" s="604">
        <f t="shared" si="9"/>
        <v>53624.791132544306</v>
      </c>
      <c r="M13" s="604">
        <f t="shared" si="10"/>
        <v>67580.710627040593</v>
      </c>
      <c r="N13" s="604">
        <f t="shared" si="11"/>
        <v>68670.280875444529</v>
      </c>
      <c r="O13" s="605">
        <f t="shared" si="12"/>
        <v>1011985.8895799216</v>
      </c>
      <c r="P13" s="606"/>
      <c r="Q13" s="606"/>
    </row>
    <row r="14" spans="1:17" x14ac:dyDescent="0.2">
      <c r="A14" s="602" t="s">
        <v>156</v>
      </c>
      <c r="B14" s="843">
        <f>'ISR Enaje'!T19</f>
        <v>3.607937859738239</v>
      </c>
      <c r="C14" s="604">
        <f t="shared" si="0"/>
        <v>200761.55739307293</v>
      </c>
      <c r="D14" s="604">
        <f t="shared" si="1"/>
        <v>39552.571830104309</v>
      </c>
      <c r="E14" s="604">
        <f t="shared" si="2"/>
        <v>28305.338433349003</v>
      </c>
      <c r="F14" s="604">
        <f t="shared" si="3"/>
        <v>88122.741848926205</v>
      </c>
      <c r="G14" s="604">
        <f t="shared" si="4"/>
        <v>253363.91447096929</v>
      </c>
      <c r="H14" s="604">
        <f t="shared" si="5"/>
        <v>127148.04671841559</v>
      </c>
      <c r="I14" s="604">
        <f t="shared" si="6"/>
        <v>125838.24759435661</v>
      </c>
      <c r="J14" s="604">
        <f t="shared" si="7"/>
        <v>87147.143440216998</v>
      </c>
      <c r="K14" s="604">
        <f t="shared" si="8"/>
        <v>75607.511427815945</v>
      </c>
      <c r="L14" s="604">
        <f t="shared" si="9"/>
        <v>66914.193813305945</v>
      </c>
      <c r="M14" s="604">
        <f t="shared" si="10"/>
        <v>84328.697108795255</v>
      </c>
      <c r="N14" s="604">
        <f t="shared" si="11"/>
        <v>85688.286829055563</v>
      </c>
      <c r="O14" s="605">
        <f t="shared" si="12"/>
        <v>1262778.2509083836</v>
      </c>
      <c r="P14" s="606"/>
      <c r="Q14" s="606"/>
    </row>
    <row r="15" spans="1:17" x14ac:dyDescent="0.2">
      <c r="A15" s="602" t="s">
        <v>157</v>
      </c>
      <c r="B15" s="843">
        <f>'ISR Enaje'!T20</f>
        <v>3.0024932576536294</v>
      </c>
      <c r="C15" s="604">
        <f t="shared" si="0"/>
        <v>167071.95242893582</v>
      </c>
      <c r="D15" s="604">
        <f t="shared" si="1"/>
        <v>32915.292574181134</v>
      </c>
      <c r="E15" s="604">
        <f t="shared" si="2"/>
        <v>23555.446658358029</v>
      </c>
      <c r="F15" s="604">
        <f t="shared" si="3"/>
        <v>73334.948808278117</v>
      </c>
      <c r="G15" s="604">
        <f t="shared" si="4"/>
        <v>210847.15826757826</v>
      </c>
      <c r="H15" s="604">
        <f t="shared" si="5"/>
        <v>105811.45458629623</v>
      </c>
      <c r="I15" s="604">
        <f t="shared" si="6"/>
        <v>104721.45160072568</v>
      </c>
      <c r="J15" s="604">
        <f t="shared" si="7"/>
        <v>72523.064635600182</v>
      </c>
      <c r="K15" s="604">
        <f t="shared" si="8"/>
        <v>62919.88723621118</v>
      </c>
      <c r="L15" s="604">
        <f t="shared" si="9"/>
        <v>55685.386937444528</v>
      </c>
      <c r="M15" s="604">
        <f t="shared" si="10"/>
        <v>70177.579087862294</v>
      </c>
      <c r="N15" s="604">
        <f t="shared" si="11"/>
        <v>71309.017357298813</v>
      </c>
      <c r="O15" s="605">
        <f t="shared" si="12"/>
        <v>1050872.6401787703</v>
      </c>
      <c r="P15" s="606"/>
      <c r="Q15" s="606"/>
    </row>
    <row r="16" spans="1:17" x14ac:dyDescent="0.2">
      <c r="A16" s="602" t="s">
        <v>158</v>
      </c>
      <c r="B16" s="843">
        <f>'ISR Enaje'!T21</f>
        <v>4.0688979500675648</v>
      </c>
      <c r="C16" s="604">
        <f t="shared" si="0"/>
        <v>226411.40759234468</v>
      </c>
      <c r="D16" s="604">
        <f t="shared" si="1"/>
        <v>44605.917478603034</v>
      </c>
      <c r="E16" s="604">
        <f t="shared" si="2"/>
        <v>31921.706527334223</v>
      </c>
      <c r="F16" s="604">
        <f t="shared" si="3"/>
        <v>99381.54635774222</v>
      </c>
      <c r="G16" s="604">
        <f t="shared" si="4"/>
        <v>285734.38686851854</v>
      </c>
      <c r="H16" s="604">
        <f t="shared" si="5"/>
        <v>143392.8317948333</v>
      </c>
      <c r="I16" s="604">
        <f t="shared" si="6"/>
        <v>141915.68912273902</v>
      </c>
      <c r="J16" s="604">
        <f t="shared" si="7"/>
        <v>98281.302805993793</v>
      </c>
      <c r="K16" s="604">
        <f t="shared" si="8"/>
        <v>85267.335585616194</v>
      </c>
      <c r="L16" s="604">
        <f t="shared" si="9"/>
        <v>75463.335739695263</v>
      </c>
      <c r="M16" s="604">
        <f t="shared" si="10"/>
        <v>95102.763999028452</v>
      </c>
      <c r="N16" s="604">
        <f t="shared" si="11"/>
        <v>96636.058651198953</v>
      </c>
      <c r="O16" s="605">
        <f t="shared" si="12"/>
        <v>1424114.2825236474</v>
      </c>
      <c r="P16" s="606"/>
      <c r="Q16" s="606"/>
    </row>
    <row r="17" spans="1:20" x14ac:dyDescent="0.2">
      <c r="A17" s="602" t="s">
        <v>285</v>
      </c>
      <c r="B17" s="843">
        <f>'ISR Enaje'!T22</f>
        <v>2.7439260574816893</v>
      </c>
      <c r="C17" s="604">
        <f t="shared" si="0"/>
        <v>152684.13428590071</v>
      </c>
      <c r="D17" s="604">
        <f t="shared" si="1"/>
        <v>30080.710007825186</v>
      </c>
      <c r="E17" s="604">
        <f t="shared" si="2"/>
        <v>21526.910582306748</v>
      </c>
      <c r="F17" s="604">
        <f t="shared" si="3"/>
        <v>67019.526670435458</v>
      </c>
      <c r="G17" s="604">
        <f t="shared" si="4"/>
        <v>192689.52902445314</v>
      </c>
      <c r="H17" s="604">
        <f t="shared" si="5"/>
        <v>96699.237102124549</v>
      </c>
      <c r="I17" s="604">
        <f t="shared" si="6"/>
        <v>95703.102443964744</v>
      </c>
      <c r="J17" s="604">
        <f t="shared" si="7"/>
        <v>66277.55992949802</v>
      </c>
      <c r="K17" s="604">
        <f t="shared" si="8"/>
        <v>57501.384118400638</v>
      </c>
      <c r="L17" s="604">
        <f t="shared" si="9"/>
        <v>50889.900867924371</v>
      </c>
      <c r="M17" s="604">
        <f t="shared" si="10"/>
        <v>64134.061723305807</v>
      </c>
      <c r="N17" s="604">
        <f t="shared" si="11"/>
        <v>65168.063362451874</v>
      </c>
      <c r="O17" s="605">
        <f t="shared" si="12"/>
        <v>960374.12011859124</v>
      </c>
      <c r="P17" s="606"/>
      <c r="Q17" s="606"/>
    </row>
    <row r="18" spans="1:20" x14ac:dyDescent="0.2">
      <c r="A18" s="602" t="s">
        <v>286</v>
      </c>
      <c r="B18" s="843">
        <f>'ISR Enaje'!T23</f>
        <v>3.3920972600975436</v>
      </c>
      <c r="C18" s="604">
        <f t="shared" si="0"/>
        <v>188751.23553690198</v>
      </c>
      <c r="D18" s="604">
        <f t="shared" si="1"/>
        <v>37186.386171418715</v>
      </c>
      <c r="E18" s="604">
        <f t="shared" si="2"/>
        <v>26612.005161547553</v>
      </c>
      <c r="F18" s="604">
        <f t="shared" si="3"/>
        <v>82850.90342429369</v>
      </c>
      <c r="G18" s="604">
        <f t="shared" si="4"/>
        <v>238206.71904446729</v>
      </c>
      <c r="H18" s="604">
        <f t="shared" si="5"/>
        <v>119541.56575512176</v>
      </c>
      <c r="I18" s="604">
        <f t="shared" si="6"/>
        <v>118310.12380885694</v>
      </c>
      <c r="J18" s="604">
        <f t="shared" si="7"/>
        <v>81933.669032297243</v>
      </c>
      <c r="K18" s="604">
        <f t="shared" si="8"/>
        <v>71084.381806868289</v>
      </c>
      <c r="L18" s="604">
        <f t="shared" si="9"/>
        <v>62911.13159920631</v>
      </c>
      <c r="M18" s="604">
        <f t="shared" si="10"/>
        <v>79283.832907003962</v>
      </c>
      <c r="N18" s="604">
        <f t="shared" si="11"/>
        <v>80562.086786156506</v>
      </c>
      <c r="O18" s="605">
        <f t="shared" si="12"/>
        <v>1187234.0410341402</v>
      </c>
      <c r="P18" s="606"/>
      <c r="Q18" s="606"/>
    </row>
    <row r="19" spans="1:20" x14ac:dyDescent="0.2">
      <c r="A19" s="602" t="s">
        <v>287</v>
      </c>
      <c r="B19" s="843">
        <f>'ISR Enaje'!T24</f>
        <v>6.3503751777162254</v>
      </c>
      <c r="C19" s="604">
        <f t="shared" si="0"/>
        <v>353362.85165430157</v>
      </c>
      <c r="D19" s="604">
        <f t="shared" si="1"/>
        <v>69616.961302918731</v>
      </c>
      <c r="E19" s="604">
        <f t="shared" si="2"/>
        <v>49820.569414418256</v>
      </c>
      <c r="F19" s="604">
        <f t="shared" si="3"/>
        <v>155105.9065275355</v>
      </c>
      <c r="G19" s="604">
        <f t="shared" si="4"/>
        <v>445948.89821694215</v>
      </c>
      <c r="H19" s="604">
        <f t="shared" si="5"/>
        <v>223794.81885929988</v>
      </c>
      <c r="I19" s="604">
        <f t="shared" si="6"/>
        <v>221489.42553807952</v>
      </c>
      <c r="J19" s="604">
        <f t="shared" si="7"/>
        <v>153388.74393800693</v>
      </c>
      <c r="K19" s="604">
        <f t="shared" si="8"/>
        <v>133077.69770040683</v>
      </c>
      <c r="L19" s="604">
        <f t="shared" si="9"/>
        <v>117776.48394968199</v>
      </c>
      <c r="M19" s="604">
        <f t="shared" si="10"/>
        <v>148427.96237285971</v>
      </c>
      <c r="N19" s="604">
        <f t="shared" si="11"/>
        <v>150820.99272622773</v>
      </c>
      <c r="O19" s="605">
        <f t="shared" si="12"/>
        <v>2222631.312200679</v>
      </c>
      <c r="P19" s="606"/>
      <c r="Q19" s="606"/>
    </row>
    <row r="20" spans="1:20" x14ac:dyDescent="0.2">
      <c r="A20" s="602" t="s">
        <v>162</v>
      </c>
      <c r="B20" s="843">
        <f>'ISR Enaje'!T25</f>
        <v>3.8052374745126216</v>
      </c>
      <c r="C20" s="604">
        <f t="shared" si="0"/>
        <v>211740.17716842354</v>
      </c>
      <c r="D20" s="604">
        <f t="shared" si="1"/>
        <v>41715.49910013823</v>
      </c>
      <c r="E20" s="604">
        <f t="shared" si="2"/>
        <v>29853.21220115371</v>
      </c>
      <c r="F20" s="604">
        <f t="shared" si="3"/>
        <v>92941.722578521396</v>
      </c>
      <c r="G20" s="604">
        <f t="shared" si="4"/>
        <v>267219.08733319776</v>
      </c>
      <c r="H20" s="604">
        <f t="shared" si="5"/>
        <v>134101.1211925637</v>
      </c>
      <c r="I20" s="604">
        <f t="shared" si="6"/>
        <v>132719.69587297281</v>
      </c>
      <c r="J20" s="604">
        <f t="shared" si="7"/>
        <v>91912.773697133394</v>
      </c>
      <c r="K20" s="604">
        <f t="shared" si="8"/>
        <v>79742.098402060583</v>
      </c>
      <c r="L20" s="604">
        <f t="shared" si="9"/>
        <v>70573.387839242263</v>
      </c>
      <c r="M20" s="604">
        <f t="shared" si="10"/>
        <v>88940.200992955273</v>
      </c>
      <c r="N20" s="604">
        <f t="shared" si="11"/>
        <v>90374.139701054854</v>
      </c>
      <c r="O20" s="605">
        <f t="shared" si="12"/>
        <v>1331833.1160794178</v>
      </c>
      <c r="P20" s="606"/>
      <c r="Q20" s="606"/>
    </row>
    <row r="21" spans="1:20" x14ac:dyDescent="0.2">
      <c r="A21" s="602" t="s">
        <v>163</v>
      </c>
      <c r="B21" s="843">
        <f>'ISR Enaje'!T26</f>
        <v>22.033904735981441</v>
      </c>
      <c r="C21" s="604">
        <f t="shared" si="0"/>
        <v>1226063.5305307545</v>
      </c>
      <c r="D21" s="604">
        <f t="shared" si="1"/>
        <v>241550.05813509488</v>
      </c>
      <c r="E21" s="604">
        <f t="shared" si="2"/>
        <v>172862.49231725256</v>
      </c>
      <c r="F21" s="604">
        <f t="shared" si="3"/>
        <v>538171.15883298416</v>
      </c>
      <c r="G21" s="604">
        <f t="shared" si="4"/>
        <v>1547309.4526616132</v>
      </c>
      <c r="H21" s="604">
        <f t="shared" si="5"/>
        <v>776501.16428638948</v>
      </c>
      <c r="I21" s="604">
        <f t="shared" si="6"/>
        <v>768502.13818207593</v>
      </c>
      <c r="J21" s="604">
        <f t="shared" si="7"/>
        <v>532213.11763777549</v>
      </c>
      <c r="K21" s="604">
        <f t="shared" si="8"/>
        <v>461739.85497798736</v>
      </c>
      <c r="L21" s="604">
        <f t="shared" si="9"/>
        <v>408649.21439482615</v>
      </c>
      <c r="M21" s="604">
        <f t="shared" si="10"/>
        <v>515000.687605921</v>
      </c>
      <c r="N21" s="604">
        <f t="shared" si="11"/>
        <v>523303.78803082928</v>
      </c>
      <c r="O21" s="605">
        <f t="shared" si="12"/>
        <v>7711866.6575935055</v>
      </c>
      <c r="P21" s="606"/>
      <c r="Q21" s="606"/>
      <c r="T21" s="606"/>
    </row>
    <row r="22" spans="1:20" x14ac:dyDescent="0.2">
      <c r="A22" s="602" t="s">
        <v>164</v>
      </c>
      <c r="B22" s="843">
        <f>'ISR Enaje'!T27</f>
        <v>2.9622596926133999</v>
      </c>
      <c r="C22" s="604">
        <f t="shared" si="0"/>
        <v>164833.17961993351</v>
      </c>
      <c r="D22" s="604">
        <f t="shared" si="1"/>
        <v>32474.225950225951</v>
      </c>
      <c r="E22" s="604">
        <f t="shared" si="2"/>
        <v>23239.802454073848</v>
      </c>
      <c r="F22" s="604">
        <f t="shared" si="3"/>
        <v>72352.256698952435</v>
      </c>
      <c r="G22" s="604">
        <f t="shared" si="4"/>
        <v>208021.7954348452</v>
      </c>
      <c r="H22" s="604">
        <f t="shared" si="5"/>
        <v>104393.57561879244</v>
      </c>
      <c r="I22" s="604">
        <f t="shared" si="6"/>
        <v>103318.17872963932</v>
      </c>
      <c r="J22" s="604">
        <f t="shared" si="7"/>
        <v>71551.251816205739</v>
      </c>
      <c r="K22" s="604">
        <f t="shared" si="8"/>
        <v>62076.757490960619</v>
      </c>
      <c r="L22" s="604">
        <f t="shared" si="9"/>
        <v>54939.199870603668</v>
      </c>
      <c r="M22" s="604">
        <f t="shared" si="10"/>
        <v>69237.195896193167</v>
      </c>
      <c r="N22" s="604">
        <f t="shared" si="11"/>
        <v>70353.472834264045</v>
      </c>
      <c r="O22" s="605">
        <f t="shared" si="12"/>
        <v>1036790.8924146899</v>
      </c>
      <c r="P22" s="606"/>
      <c r="Q22" s="606"/>
      <c r="T22" s="606"/>
    </row>
    <row r="23" spans="1:20" ht="13.5" thickBot="1" x14ac:dyDescent="0.25">
      <c r="A23" s="602" t="s">
        <v>165</v>
      </c>
      <c r="B23" s="843">
        <f>'ISR Enaje'!T28</f>
        <v>4.8639447149885564</v>
      </c>
      <c r="C23" s="604">
        <f t="shared" si="0"/>
        <v>270651.3121946493</v>
      </c>
      <c r="D23" s="604">
        <f t="shared" si="1"/>
        <v>53321.739507785933</v>
      </c>
      <c r="E23" s="604">
        <f t="shared" si="2"/>
        <v>38159.083285552733</v>
      </c>
      <c r="F23" s="604">
        <f t="shared" si="3"/>
        <v>118800.3122973639</v>
      </c>
      <c r="G23" s="604">
        <f t="shared" si="4"/>
        <v>341565.76988531952</v>
      </c>
      <c r="H23" s="604">
        <f t="shared" si="5"/>
        <v>171411.23098556476</v>
      </c>
      <c r="I23" s="604">
        <f t="shared" si="6"/>
        <v>169645.46040557328</v>
      </c>
      <c r="J23" s="604">
        <f t="shared" si="7"/>
        <v>117485.08545353556</v>
      </c>
      <c r="K23" s="604">
        <f t="shared" si="8"/>
        <v>101928.23987535169</v>
      </c>
      <c r="L23" s="604">
        <f t="shared" si="9"/>
        <v>90208.576757350937</v>
      </c>
      <c r="M23" s="604">
        <f t="shared" si="10"/>
        <v>113685.47258016074</v>
      </c>
      <c r="N23" s="604">
        <f t="shared" si="11"/>
        <v>115518.36701778631</v>
      </c>
      <c r="O23" s="605">
        <f t="shared" si="12"/>
        <v>1702380.6502459948</v>
      </c>
      <c r="P23" s="606"/>
      <c r="Q23" s="606"/>
      <c r="T23" s="606"/>
    </row>
    <row r="24" spans="1:20" ht="13.5" thickBot="1" x14ac:dyDescent="0.25">
      <c r="A24" s="607" t="s">
        <v>288</v>
      </c>
      <c r="B24" s="844">
        <f>SUM(B4:B23)</f>
        <v>100</v>
      </c>
      <c r="C24" s="609">
        <f>'X22.55 POE'!B194</f>
        <v>5564440.5529655786</v>
      </c>
      <c r="D24" s="609">
        <f>'X22.55 POE'!C194</f>
        <v>1096265.3284991416</v>
      </c>
      <c r="E24" s="609">
        <f>'X22.55 POE'!D194</f>
        <v>784529.54384870129</v>
      </c>
      <c r="F24" s="609">
        <f>'X22.55 POE'!E194</f>
        <v>2442468.3926047338</v>
      </c>
      <c r="G24" s="609">
        <f>'X22.55 POE'!F194</f>
        <v>7022402.3894178485</v>
      </c>
      <c r="H24" s="609">
        <f>'X22.55 POE'!G194</f>
        <v>3524119.6401215279</v>
      </c>
      <c r="I24" s="609">
        <f>'X22.55 POE'!H194</f>
        <v>3487816.3783975579</v>
      </c>
      <c r="J24" s="609">
        <f>'X22.55 POE'!I194</f>
        <v>2415428.0596878035</v>
      </c>
      <c r="K24" s="609">
        <f>'X22.55 POE'!J194</f>
        <v>2095587.960966195</v>
      </c>
      <c r="L24" s="609">
        <f>'X22.55 POE'!K194</f>
        <v>1854638.2009517387</v>
      </c>
      <c r="M24" s="609">
        <f>'X22.55 POE'!L194</f>
        <v>2337310.1308045648</v>
      </c>
      <c r="N24" s="609">
        <f>'X22.55 POE'!M194</f>
        <v>2374993.4217346073</v>
      </c>
      <c r="O24" s="609">
        <f>SUM(C24:N24)</f>
        <v>35000000</v>
      </c>
      <c r="P24" s="606"/>
      <c r="Q24" s="606"/>
      <c r="T24" s="606"/>
    </row>
    <row r="25" spans="1:20" x14ac:dyDescent="0.2">
      <c r="A25" s="611" t="s">
        <v>289</v>
      </c>
    </row>
    <row r="31" spans="1:20" x14ac:dyDescent="0.2">
      <c r="C31" s="711"/>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7030A0"/>
  </sheetPr>
  <dimension ref="A1:O32"/>
  <sheetViews>
    <sheetView workbookViewId="0">
      <selection activeCell="O27" sqref="O27"/>
    </sheetView>
  </sheetViews>
  <sheetFormatPr baseColWidth="10" defaultRowHeight="12.75" x14ac:dyDescent="0.2"/>
  <cols>
    <col min="1" max="1" width="15.42578125" style="597" customWidth="1"/>
    <col min="2" max="2" width="9.28515625" style="597" customWidth="1"/>
    <col min="3" max="3" width="11.7109375" style="597" bestFit="1" customWidth="1"/>
    <col min="4" max="5" width="10.85546875" style="597" bestFit="1" customWidth="1"/>
    <col min="6" max="6" width="11.7109375" style="597" bestFit="1" customWidth="1"/>
    <col min="7" max="8" width="10.85546875" style="597" bestFit="1" customWidth="1"/>
    <col min="9" max="9" width="11.7109375" style="597" bestFit="1" customWidth="1"/>
    <col min="10" max="11" width="10.85546875" style="597" bestFit="1" customWidth="1"/>
    <col min="12" max="12" width="11.7109375" style="597" bestFit="1" customWidth="1"/>
    <col min="13" max="14" width="10.85546875" style="597" bestFit="1" customWidth="1"/>
    <col min="15" max="15" width="13"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349</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28">
        <f>FOFIR!I8</f>
        <v>0.23811380240433105</v>
      </c>
      <c r="C7" s="629">
        <f t="shared" ref="C7:C26" si="0">$C$32*B7/100</f>
        <v>20445.67657441743</v>
      </c>
      <c r="D7" s="630">
        <f t="shared" ref="D7:D26" si="1">$D$32*B7/100</f>
        <v>1339.0576509965272</v>
      </c>
      <c r="E7" s="629">
        <f t="shared" ref="E7:E26" si="2">$E$32*B7/100</f>
        <v>1339.0576509965272</v>
      </c>
      <c r="F7" s="630">
        <f t="shared" ref="F7:F26" si="3">$F$32*B7/100</f>
        <v>32812.187095804482</v>
      </c>
      <c r="G7" s="629">
        <f t="shared" ref="G7:G26" si="4">$G$32*B7/100</f>
        <v>1339.0576509965272</v>
      </c>
      <c r="H7" s="629">
        <f t="shared" ref="H7:H26" si="5">$H$32*B7/100</f>
        <v>1339.0576509965272</v>
      </c>
      <c r="I7" s="631">
        <f t="shared" ref="I7:I26" si="6">$I$32*B7/100</f>
        <v>36517.74139355091</v>
      </c>
      <c r="J7" s="630">
        <f t="shared" ref="J7:J26" si="7">$J$32*B7/100</f>
        <v>1339.057650996526</v>
      </c>
      <c r="K7" s="629">
        <f t="shared" ref="K7:K26" si="8">$K$32*B7/100</f>
        <v>1339.057650996526</v>
      </c>
      <c r="L7" s="630">
        <f t="shared" ref="L7:L26" si="9">$L$32*B7/100</f>
        <v>19745.175095008763</v>
      </c>
      <c r="M7" s="629">
        <f t="shared" ref="M7:M26" si="10">$M$32*B7/100</f>
        <v>1339.0576509965249</v>
      </c>
      <c r="N7" s="629">
        <f t="shared" ref="N7:N26" si="11">$N$32*B7/100</f>
        <v>1339.0576509965249</v>
      </c>
      <c r="O7" s="632">
        <f t="shared" ref="O7:O27" si="12">SUM(C7:N7)</f>
        <v>120233.24136675379</v>
      </c>
    </row>
    <row r="8" spans="1:15" x14ac:dyDescent="0.2">
      <c r="A8" s="602" t="s">
        <v>147</v>
      </c>
      <c r="B8" s="633">
        <f>FOFIR!I9</f>
        <v>5.5750133859447999E-2</v>
      </c>
      <c r="C8" s="629">
        <f t="shared" si="0"/>
        <v>4786.9934223099835</v>
      </c>
      <c r="D8" s="630">
        <f t="shared" si="1"/>
        <v>313.51665688749063</v>
      </c>
      <c r="E8" s="629">
        <f t="shared" si="2"/>
        <v>313.51665688749063</v>
      </c>
      <c r="F8" s="630">
        <f t="shared" si="3"/>
        <v>7682.3930588707408</v>
      </c>
      <c r="G8" s="629">
        <f t="shared" si="4"/>
        <v>313.51665688749063</v>
      </c>
      <c r="H8" s="629">
        <f t="shared" si="5"/>
        <v>313.51665688749063</v>
      </c>
      <c r="I8" s="629">
        <f t="shared" si="6"/>
        <v>8549.9830349109488</v>
      </c>
      <c r="J8" s="630">
        <f t="shared" si="7"/>
        <v>313.51665688749034</v>
      </c>
      <c r="K8" s="629">
        <f t="shared" si="8"/>
        <v>313.51665688749034</v>
      </c>
      <c r="L8" s="630">
        <f t="shared" si="9"/>
        <v>4622.9833949556678</v>
      </c>
      <c r="M8" s="629">
        <f t="shared" si="10"/>
        <v>313.51665688749006</v>
      </c>
      <c r="N8" s="629">
        <f t="shared" si="11"/>
        <v>313.51665688749006</v>
      </c>
      <c r="O8" s="632">
        <f t="shared" si="12"/>
        <v>28150.486166147264</v>
      </c>
    </row>
    <row r="9" spans="1:15" x14ac:dyDescent="0.2">
      <c r="A9" s="602" t="s">
        <v>148</v>
      </c>
      <c r="B9" s="633">
        <f>FOFIR!I10</f>
        <v>2.0350480086820645E-2</v>
      </c>
      <c r="C9" s="629">
        <f t="shared" si="0"/>
        <v>1747.3969580424841</v>
      </c>
      <c r="D9" s="630">
        <f t="shared" si="1"/>
        <v>114.44303432455705</v>
      </c>
      <c r="E9" s="629">
        <f t="shared" si="2"/>
        <v>114.44303432455705</v>
      </c>
      <c r="F9" s="630">
        <f t="shared" si="3"/>
        <v>2804.3051404652924</v>
      </c>
      <c r="G9" s="629">
        <f t="shared" si="4"/>
        <v>114.44303432455705</v>
      </c>
      <c r="H9" s="629">
        <f t="shared" si="5"/>
        <v>114.44303432455705</v>
      </c>
      <c r="I9" s="629">
        <f t="shared" si="6"/>
        <v>3121.0016451847928</v>
      </c>
      <c r="J9" s="630">
        <f t="shared" si="7"/>
        <v>114.44303432455696</v>
      </c>
      <c r="K9" s="629">
        <f t="shared" si="8"/>
        <v>114.44303432455696</v>
      </c>
      <c r="L9" s="630">
        <f t="shared" si="9"/>
        <v>1687.5283520920921</v>
      </c>
      <c r="M9" s="629">
        <f t="shared" si="10"/>
        <v>114.44303432455686</v>
      </c>
      <c r="N9" s="629">
        <f t="shared" si="11"/>
        <v>114.44303432455686</v>
      </c>
      <c r="O9" s="632">
        <f t="shared" si="12"/>
        <v>10275.776370381114</v>
      </c>
    </row>
    <row r="10" spans="1:15" x14ac:dyDescent="0.2">
      <c r="A10" s="602" t="s">
        <v>283</v>
      </c>
      <c r="B10" s="633">
        <f>FOFIR!I11</f>
        <v>33.219879442917254</v>
      </c>
      <c r="C10" s="629">
        <f t="shared" si="0"/>
        <v>2852429.8216770249</v>
      </c>
      <c r="D10" s="630">
        <f t="shared" si="1"/>
        <v>186815.43566166449</v>
      </c>
      <c r="E10" s="629">
        <f t="shared" si="2"/>
        <v>186815.43566166449</v>
      </c>
      <c r="F10" s="630">
        <f t="shared" si="3"/>
        <v>4577714.0534262611</v>
      </c>
      <c r="G10" s="629">
        <f t="shared" si="4"/>
        <v>186815.43566166449</v>
      </c>
      <c r="H10" s="629">
        <f t="shared" si="5"/>
        <v>186815.43566166449</v>
      </c>
      <c r="I10" s="629">
        <f t="shared" si="6"/>
        <v>5094685.6266712788</v>
      </c>
      <c r="J10" s="630">
        <f t="shared" si="7"/>
        <v>186815.43566166435</v>
      </c>
      <c r="K10" s="629">
        <f t="shared" si="8"/>
        <v>186815.43566166435</v>
      </c>
      <c r="L10" s="630">
        <f t="shared" si="9"/>
        <v>2754701.0278794016</v>
      </c>
      <c r="M10" s="629">
        <f t="shared" si="10"/>
        <v>186815.4356616642</v>
      </c>
      <c r="N10" s="629">
        <f t="shared" si="11"/>
        <v>186815.4356616642</v>
      </c>
      <c r="O10" s="632">
        <f t="shared" si="12"/>
        <v>16774054.014947282</v>
      </c>
    </row>
    <row r="11" spans="1:15" x14ac:dyDescent="0.2">
      <c r="A11" s="602" t="s">
        <v>150</v>
      </c>
      <c r="B11" s="633">
        <f>FOFIR!I12</f>
        <v>2.4238875194410521</v>
      </c>
      <c r="C11" s="629">
        <f t="shared" si="0"/>
        <v>208127.45743779396</v>
      </c>
      <c r="D11" s="630">
        <f t="shared" si="1"/>
        <v>13630.982728800847</v>
      </c>
      <c r="E11" s="629">
        <f t="shared" si="2"/>
        <v>13630.982728800847</v>
      </c>
      <c r="F11" s="630">
        <f t="shared" si="3"/>
        <v>334012.77029726101</v>
      </c>
      <c r="G11" s="629">
        <f t="shared" si="4"/>
        <v>13630.982728800847</v>
      </c>
      <c r="H11" s="629">
        <f t="shared" si="5"/>
        <v>13630.982728800847</v>
      </c>
      <c r="I11" s="629">
        <f t="shared" si="6"/>
        <v>371733.58582422917</v>
      </c>
      <c r="J11" s="630">
        <f t="shared" si="7"/>
        <v>13630.982728800836</v>
      </c>
      <c r="K11" s="629">
        <f t="shared" si="8"/>
        <v>13630.982728800836</v>
      </c>
      <c r="L11" s="630">
        <f t="shared" si="9"/>
        <v>200996.67889348484</v>
      </c>
      <c r="M11" s="629">
        <f t="shared" si="10"/>
        <v>13630.982728800825</v>
      </c>
      <c r="N11" s="629">
        <f t="shared" si="11"/>
        <v>13630.982728800825</v>
      </c>
      <c r="O11" s="632">
        <f t="shared" si="12"/>
        <v>1223918.3542831754</v>
      </c>
    </row>
    <row r="12" spans="1:15" x14ac:dyDescent="0.2">
      <c r="A12" s="602" t="s">
        <v>284</v>
      </c>
      <c r="B12" s="633">
        <f>FOFIR!I13</f>
        <v>4.3002490404843649E-3</v>
      </c>
      <c r="C12" s="629">
        <f t="shared" si="0"/>
        <v>369.24151470184995</v>
      </c>
      <c r="D12" s="630">
        <f t="shared" si="1"/>
        <v>24.182896248379453</v>
      </c>
      <c r="E12" s="629">
        <f t="shared" si="2"/>
        <v>24.182896248379453</v>
      </c>
      <c r="F12" s="630">
        <f t="shared" si="3"/>
        <v>592.57621628892275</v>
      </c>
      <c r="G12" s="629">
        <f t="shared" si="4"/>
        <v>24.182896248379453</v>
      </c>
      <c r="H12" s="629">
        <f t="shared" si="5"/>
        <v>24.182896248379453</v>
      </c>
      <c r="I12" s="629">
        <f t="shared" si="6"/>
        <v>659.49718497048013</v>
      </c>
      <c r="J12" s="630">
        <f t="shared" si="7"/>
        <v>24.182896248379436</v>
      </c>
      <c r="K12" s="629">
        <f t="shared" si="8"/>
        <v>24.182896248379436</v>
      </c>
      <c r="L12" s="630">
        <f t="shared" si="9"/>
        <v>356.59071166452804</v>
      </c>
      <c r="M12" s="629">
        <f t="shared" si="10"/>
        <v>24.182896248379411</v>
      </c>
      <c r="N12" s="629">
        <f t="shared" si="11"/>
        <v>24.182896248379411</v>
      </c>
      <c r="O12" s="632">
        <f t="shared" si="12"/>
        <v>2171.3687976128167</v>
      </c>
    </row>
    <row r="13" spans="1:15" x14ac:dyDescent="0.2">
      <c r="A13" s="602" t="s">
        <v>152</v>
      </c>
      <c r="B13" s="633">
        <f>FOFIR!I14</f>
        <v>9.5385624214059555E-4</v>
      </c>
      <c r="C13" s="629">
        <f t="shared" si="0"/>
        <v>81.903006160809966</v>
      </c>
      <c r="D13" s="630">
        <f t="shared" si="1"/>
        <v>5.3641094556135158</v>
      </c>
      <c r="E13" s="629">
        <f t="shared" si="2"/>
        <v>5.3641094556135158</v>
      </c>
      <c r="F13" s="630">
        <f t="shared" si="3"/>
        <v>131.44181128346435</v>
      </c>
      <c r="G13" s="629">
        <f t="shared" si="4"/>
        <v>5.3641094556135158</v>
      </c>
      <c r="H13" s="629">
        <f t="shared" si="5"/>
        <v>5.3641094556135158</v>
      </c>
      <c r="I13" s="629">
        <f t="shared" si="6"/>
        <v>146.28583150323493</v>
      </c>
      <c r="J13" s="630">
        <f t="shared" si="7"/>
        <v>5.3641094556135114</v>
      </c>
      <c r="K13" s="629">
        <f t="shared" si="8"/>
        <v>5.3641094556135114</v>
      </c>
      <c r="L13" s="630">
        <f t="shared" si="9"/>
        <v>79.096878578049882</v>
      </c>
      <c r="M13" s="629">
        <f t="shared" si="10"/>
        <v>5.3641094556135069</v>
      </c>
      <c r="N13" s="629">
        <f t="shared" si="11"/>
        <v>5.3641094556135069</v>
      </c>
      <c r="O13" s="632">
        <f t="shared" si="12"/>
        <v>481.64040317046727</v>
      </c>
    </row>
    <row r="14" spans="1:15" x14ac:dyDescent="0.2">
      <c r="A14" s="602" t="s">
        <v>153</v>
      </c>
      <c r="B14" s="633">
        <f>FOFIR!I15</f>
        <v>0.20389945080017163</v>
      </c>
      <c r="C14" s="629">
        <f t="shared" si="0"/>
        <v>17507.856254727638</v>
      </c>
      <c r="D14" s="630">
        <f t="shared" si="1"/>
        <v>1146.6496980478844</v>
      </c>
      <c r="E14" s="629">
        <f t="shared" si="2"/>
        <v>1146.6496980478844</v>
      </c>
      <c r="F14" s="630">
        <f t="shared" si="3"/>
        <v>28097.434339511103</v>
      </c>
      <c r="G14" s="629">
        <f t="shared" si="4"/>
        <v>1146.6496980478844</v>
      </c>
      <c r="H14" s="629">
        <f t="shared" si="5"/>
        <v>1146.6496980478844</v>
      </c>
      <c r="I14" s="629">
        <f t="shared" si="6"/>
        <v>31270.54097420222</v>
      </c>
      <c r="J14" s="630">
        <f t="shared" si="7"/>
        <v>1146.6496980478832</v>
      </c>
      <c r="K14" s="629">
        <f t="shared" si="8"/>
        <v>1146.6496980478832</v>
      </c>
      <c r="L14" s="630">
        <f t="shared" si="9"/>
        <v>16908.009183730897</v>
      </c>
      <c r="M14" s="629">
        <f t="shared" si="10"/>
        <v>1146.6496980478823</v>
      </c>
      <c r="N14" s="629">
        <f t="shared" si="11"/>
        <v>1146.6496980478823</v>
      </c>
      <c r="O14" s="632">
        <f t="shared" si="12"/>
        <v>102957.03833655494</v>
      </c>
    </row>
    <row r="15" spans="1:15" x14ac:dyDescent="0.2">
      <c r="A15" s="602" t="s">
        <v>154</v>
      </c>
      <c r="B15" s="633">
        <f>FOFIR!I16</f>
        <v>5.1736231494593159E-2</v>
      </c>
      <c r="C15" s="629">
        <f t="shared" si="0"/>
        <v>4442.3391069177287</v>
      </c>
      <c r="D15" s="630">
        <f t="shared" si="1"/>
        <v>290.94406085256975</v>
      </c>
      <c r="E15" s="629">
        <f t="shared" si="2"/>
        <v>290.94406085256975</v>
      </c>
      <c r="F15" s="630">
        <f t="shared" si="3"/>
        <v>7129.2755409023093</v>
      </c>
      <c r="G15" s="629">
        <f t="shared" si="4"/>
        <v>290.94406085256975</v>
      </c>
      <c r="H15" s="629">
        <f t="shared" si="5"/>
        <v>290.94406085256975</v>
      </c>
      <c r="I15" s="629">
        <f t="shared" si="6"/>
        <v>7934.4007080627453</v>
      </c>
      <c r="J15" s="630">
        <f t="shared" si="7"/>
        <v>290.94406085256946</v>
      </c>
      <c r="K15" s="629">
        <f t="shared" si="8"/>
        <v>290.94406085256946</v>
      </c>
      <c r="L15" s="630">
        <f t="shared" si="9"/>
        <v>4290.1374859488951</v>
      </c>
      <c r="M15" s="629">
        <f t="shared" si="10"/>
        <v>290.94406085256929</v>
      </c>
      <c r="N15" s="629">
        <f t="shared" si="11"/>
        <v>290.94406085256929</v>
      </c>
      <c r="O15" s="632">
        <f t="shared" si="12"/>
        <v>26123.705328652235</v>
      </c>
    </row>
    <row r="16" spans="1:15" x14ac:dyDescent="0.2">
      <c r="A16" s="602" t="s">
        <v>155</v>
      </c>
      <c r="B16" s="633">
        <f>FOFIR!I17</f>
        <v>6.0544054521972594E-3</v>
      </c>
      <c r="C16" s="629">
        <f t="shared" si="0"/>
        <v>519.86241232592704</v>
      </c>
      <c r="D16" s="630">
        <f t="shared" si="1"/>
        <v>34.047576667703353</v>
      </c>
      <c r="E16" s="629">
        <f t="shared" si="2"/>
        <v>34.047576667703353</v>
      </c>
      <c r="F16" s="630">
        <f t="shared" si="3"/>
        <v>834.29974426271144</v>
      </c>
      <c r="G16" s="629">
        <f t="shared" si="4"/>
        <v>34.047576667703353</v>
      </c>
      <c r="H16" s="629">
        <f t="shared" si="5"/>
        <v>34.047576667703353</v>
      </c>
      <c r="I16" s="629">
        <f t="shared" si="6"/>
        <v>928.51909617408523</v>
      </c>
      <c r="J16" s="630">
        <f t="shared" si="7"/>
        <v>34.047576667703332</v>
      </c>
      <c r="K16" s="629">
        <f t="shared" si="8"/>
        <v>34.047576667703332</v>
      </c>
      <c r="L16" s="630">
        <f t="shared" si="9"/>
        <v>502.05109717586112</v>
      </c>
      <c r="M16" s="629">
        <f t="shared" si="10"/>
        <v>34.047576667703296</v>
      </c>
      <c r="N16" s="629">
        <f t="shared" si="11"/>
        <v>34.047576667703296</v>
      </c>
      <c r="O16" s="632">
        <f t="shared" si="12"/>
        <v>3057.1129632802113</v>
      </c>
    </row>
    <row r="17" spans="1:15" x14ac:dyDescent="0.2">
      <c r="A17" s="602" t="s">
        <v>156</v>
      </c>
      <c r="B17" s="633">
        <f>FOFIR!I18</f>
        <v>5.0022444840702396E-2</v>
      </c>
      <c r="C17" s="629">
        <f t="shared" si="0"/>
        <v>4295.1845644712375</v>
      </c>
      <c r="D17" s="630">
        <f t="shared" si="1"/>
        <v>281.30640395113841</v>
      </c>
      <c r="E17" s="629">
        <f t="shared" si="2"/>
        <v>281.30640395113841</v>
      </c>
      <c r="F17" s="630">
        <f t="shared" si="3"/>
        <v>6893.1149833791915</v>
      </c>
      <c r="G17" s="629">
        <f t="shared" si="4"/>
        <v>281.30640395113841</v>
      </c>
      <c r="H17" s="629">
        <f t="shared" si="5"/>
        <v>281.30640395113841</v>
      </c>
      <c r="I17" s="629">
        <f t="shared" si="6"/>
        <v>7671.5700061102771</v>
      </c>
      <c r="J17" s="630">
        <f t="shared" si="7"/>
        <v>281.30640395113818</v>
      </c>
      <c r="K17" s="629">
        <f t="shared" si="8"/>
        <v>281.30640395113818</v>
      </c>
      <c r="L17" s="630">
        <f t="shared" si="9"/>
        <v>4148.0246927597727</v>
      </c>
      <c r="M17" s="629">
        <f t="shared" si="10"/>
        <v>281.30640395113795</v>
      </c>
      <c r="N17" s="629">
        <f t="shared" si="11"/>
        <v>281.30640395113795</v>
      </c>
      <c r="O17" s="632">
        <f t="shared" si="12"/>
        <v>25258.345478329582</v>
      </c>
    </row>
    <row r="18" spans="1:15" x14ac:dyDescent="0.2">
      <c r="A18" s="602" t="s">
        <v>157</v>
      </c>
      <c r="B18" s="633">
        <f>FOFIR!I19</f>
        <v>3.9909764645801309E-2</v>
      </c>
      <c r="C18" s="629">
        <f t="shared" si="0"/>
        <v>3426.8577960196853</v>
      </c>
      <c r="D18" s="630">
        <f t="shared" si="1"/>
        <v>224.43669858198402</v>
      </c>
      <c r="E18" s="629">
        <f t="shared" si="2"/>
        <v>224.43669858198402</v>
      </c>
      <c r="F18" s="630">
        <f t="shared" si="3"/>
        <v>5499.5831878905674</v>
      </c>
      <c r="G18" s="629">
        <f t="shared" si="4"/>
        <v>224.43669858198402</v>
      </c>
      <c r="H18" s="629">
        <f t="shared" si="5"/>
        <v>224.43669858198402</v>
      </c>
      <c r="I18" s="629">
        <f t="shared" si="6"/>
        <v>6120.6635217981984</v>
      </c>
      <c r="J18" s="630">
        <f t="shared" si="7"/>
        <v>224.43669858198385</v>
      </c>
      <c r="K18" s="629">
        <f t="shared" si="8"/>
        <v>224.43669858198385</v>
      </c>
      <c r="L18" s="630">
        <f t="shared" si="9"/>
        <v>3309.4481839142804</v>
      </c>
      <c r="M18" s="629">
        <f t="shared" si="10"/>
        <v>224.43669858198362</v>
      </c>
      <c r="N18" s="629">
        <f t="shared" si="11"/>
        <v>224.43669858198362</v>
      </c>
      <c r="O18" s="632">
        <f t="shared" si="12"/>
        <v>20152.046278278598</v>
      </c>
    </row>
    <row r="19" spans="1:15" x14ac:dyDescent="0.2">
      <c r="A19" s="602" t="s">
        <v>158</v>
      </c>
      <c r="B19" s="633">
        <f>FOFIR!I20</f>
        <v>0.14295084305601649</v>
      </c>
      <c r="C19" s="629">
        <f t="shared" si="0"/>
        <v>12274.495109698259</v>
      </c>
      <c r="D19" s="630">
        <f t="shared" si="1"/>
        <v>803.89888438941216</v>
      </c>
      <c r="E19" s="629">
        <f t="shared" si="2"/>
        <v>803.89888438941216</v>
      </c>
      <c r="F19" s="630">
        <f t="shared" si="3"/>
        <v>19698.689284261665</v>
      </c>
      <c r="G19" s="629">
        <f t="shared" si="4"/>
        <v>803.89888438941216</v>
      </c>
      <c r="H19" s="629">
        <f t="shared" si="5"/>
        <v>803.89888438941216</v>
      </c>
      <c r="I19" s="629">
        <f t="shared" si="6"/>
        <v>21923.306696204952</v>
      </c>
      <c r="J19" s="630">
        <f t="shared" si="7"/>
        <v>803.89888438941159</v>
      </c>
      <c r="K19" s="629">
        <f t="shared" si="8"/>
        <v>803.89888438941159</v>
      </c>
      <c r="L19" s="630">
        <f t="shared" si="9"/>
        <v>11853.951335955078</v>
      </c>
      <c r="M19" s="629">
        <f t="shared" si="10"/>
        <v>803.8988843894108</v>
      </c>
      <c r="N19" s="629">
        <f t="shared" si="11"/>
        <v>803.8988843894108</v>
      </c>
      <c r="O19" s="632">
        <f t="shared" si="12"/>
        <v>72181.633501235221</v>
      </c>
    </row>
    <row r="20" spans="1:15" x14ac:dyDescent="0.2">
      <c r="A20" s="602" t="s">
        <v>285</v>
      </c>
      <c r="B20" s="633">
        <f>FOFIR!I21</f>
        <v>9.4227081102552478E-3</v>
      </c>
      <c r="C20" s="629">
        <f t="shared" si="0"/>
        <v>809.08221418547487</v>
      </c>
      <c r="D20" s="630">
        <f t="shared" si="1"/>
        <v>52.989575827775774</v>
      </c>
      <c r="E20" s="629">
        <f t="shared" si="2"/>
        <v>52.989575827775774</v>
      </c>
      <c r="F20" s="630">
        <f t="shared" si="3"/>
        <v>1298.4533376097386</v>
      </c>
      <c r="G20" s="629">
        <f t="shared" si="4"/>
        <v>52.989575827775774</v>
      </c>
      <c r="H20" s="629">
        <f t="shared" si="5"/>
        <v>52.989575827775774</v>
      </c>
      <c r="I20" s="629">
        <f t="shared" si="6"/>
        <v>1445.0906017321959</v>
      </c>
      <c r="J20" s="630">
        <f t="shared" si="7"/>
        <v>52.989575827775731</v>
      </c>
      <c r="K20" s="629">
        <f t="shared" si="8"/>
        <v>52.989575827775731</v>
      </c>
      <c r="L20" s="630">
        <f t="shared" si="9"/>
        <v>781.36176747209379</v>
      </c>
      <c r="M20" s="629">
        <f t="shared" si="10"/>
        <v>52.989575827775688</v>
      </c>
      <c r="N20" s="629">
        <f t="shared" si="11"/>
        <v>52.989575827775688</v>
      </c>
      <c r="O20" s="632">
        <f t="shared" si="12"/>
        <v>4757.9045276217084</v>
      </c>
    </row>
    <row r="21" spans="1:15" x14ac:dyDescent="0.2">
      <c r="A21" s="602" t="s">
        <v>286</v>
      </c>
      <c r="B21" s="633">
        <f>FOFIR!I22</f>
        <v>5.6268970196676774E-2</v>
      </c>
      <c r="C21" s="629">
        <f t="shared" si="0"/>
        <v>4831.543380518714</v>
      </c>
      <c r="D21" s="630">
        <f t="shared" si="1"/>
        <v>316.4343868131229</v>
      </c>
      <c r="E21" s="629">
        <f t="shared" si="2"/>
        <v>316.4343868131229</v>
      </c>
      <c r="F21" s="630">
        <f t="shared" si="3"/>
        <v>7753.8889352011038</v>
      </c>
      <c r="G21" s="629">
        <f t="shared" si="4"/>
        <v>316.4343868131229</v>
      </c>
      <c r="H21" s="629">
        <f t="shared" si="5"/>
        <v>316.4343868131229</v>
      </c>
      <c r="I21" s="629">
        <f t="shared" si="6"/>
        <v>8629.5531018167094</v>
      </c>
      <c r="J21" s="630">
        <f t="shared" si="7"/>
        <v>316.43438681312256</v>
      </c>
      <c r="K21" s="629">
        <f t="shared" si="8"/>
        <v>316.43438681312256</v>
      </c>
      <c r="L21" s="630">
        <f t="shared" si="9"/>
        <v>4666.0070005627022</v>
      </c>
      <c r="M21" s="629">
        <f t="shared" si="10"/>
        <v>316.43438681312233</v>
      </c>
      <c r="N21" s="629">
        <f t="shared" si="11"/>
        <v>316.43438681312233</v>
      </c>
      <c r="O21" s="632">
        <f t="shared" si="12"/>
        <v>28412.467512604209</v>
      </c>
    </row>
    <row r="22" spans="1:15" x14ac:dyDescent="0.2">
      <c r="A22" s="602" t="s">
        <v>287</v>
      </c>
      <c r="B22" s="633">
        <f>FOFIR!I23</f>
        <v>1.0013808827982771</v>
      </c>
      <c r="C22" s="629">
        <f t="shared" si="0"/>
        <v>85983.716402681661</v>
      </c>
      <c r="D22" s="630">
        <f t="shared" si="1"/>
        <v>5631.369198815918</v>
      </c>
      <c r="E22" s="629">
        <f t="shared" si="2"/>
        <v>5631.369198815918</v>
      </c>
      <c r="F22" s="630">
        <f t="shared" si="3"/>
        <v>137990.72774767166</v>
      </c>
      <c r="G22" s="629">
        <f t="shared" si="4"/>
        <v>5631.369198815918</v>
      </c>
      <c r="H22" s="629">
        <f t="shared" si="5"/>
        <v>5631.369198815918</v>
      </c>
      <c r="I22" s="629">
        <f t="shared" si="6"/>
        <v>153574.3318750516</v>
      </c>
      <c r="J22" s="630">
        <f t="shared" si="7"/>
        <v>5631.3691988159135</v>
      </c>
      <c r="K22" s="629">
        <f t="shared" si="8"/>
        <v>5631.3691988159135</v>
      </c>
      <c r="L22" s="630">
        <f t="shared" si="9"/>
        <v>83037.777180474732</v>
      </c>
      <c r="M22" s="629">
        <f t="shared" si="10"/>
        <v>5631.3691988159089</v>
      </c>
      <c r="N22" s="629">
        <f t="shared" si="11"/>
        <v>5631.3691988159089</v>
      </c>
      <c r="O22" s="632">
        <f t="shared" si="12"/>
        <v>505637.50679640693</v>
      </c>
    </row>
    <row r="23" spans="1:15" x14ac:dyDescent="0.2">
      <c r="A23" s="602" t="s">
        <v>162</v>
      </c>
      <c r="B23" s="633">
        <f>FOFIR!I24</f>
        <v>0.12409567696781501</v>
      </c>
      <c r="C23" s="629">
        <f t="shared" si="0"/>
        <v>10655.49350750773</v>
      </c>
      <c r="D23" s="630">
        <f t="shared" si="1"/>
        <v>697.86490334221685</v>
      </c>
      <c r="E23" s="629">
        <f t="shared" si="2"/>
        <v>697.86490334221685</v>
      </c>
      <c r="F23" s="630">
        <f t="shared" si="3"/>
        <v>17100.439072969915</v>
      </c>
      <c r="G23" s="629">
        <f t="shared" si="4"/>
        <v>697.86490334221685</v>
      </c>
      <c r="H23" s="629">
        <f t="shared" si="5"/>
        <v>697.86490334221685</v>
      </c>
      <c r="I23" s="629">
        <f t="shared" si="6"/>
        <v>19031.630228109254</v>
      </c>
      <c r="J23" s="630">
        <f t="shared" si="7"/>
        <v>697.86490334221628</v>
      </c>
      <c r="K23" s="629">
        <f t="shared" si="8"/>
        <v>697.86490334221628</v>
      </c>
      <c r="L23" s="630">
        <f t="shared" si="9"/>
        <v>10290.419310101215</v>
      </c>
      <c r="M23" s="629">
        <f t="shared" si="10"/>
        <v>697.86490334221571</v>
      </c>
      <c r="N23" s="629">
        <f t="shared" si="11"/>
        <v>697.86490334221571</v>
      </c>
      <c r="O23" s="632">
        <f t="shared" si="12"/>
        <v>62660.901345425853</v>
      </c>
    </row>
    <row r="24" spans="1:15" x14ac:dyDescent="0.2">
      <c r="A24" s="602" t="s">
        <v>163</v>
      </c>
      <c r="B24" s="633">
        <f>FOFIR!I25</f>
        <v>60.823551919949473</v>
      </c>
      <c r="C24" s="629">
        <f t="shared" si="0"/>
        <v>5222623.2083384413</v>
      </c>
      <c r="D24" s="630">
        <f t="shared" si="1"/>
        <v>342047.5492676078</v>
      </c>
      <c r="E24" s="629">
        <f t="shared" si="2"/>
        <v>342047.5492676078</v>
      </c>
      <c r="F24" s="630">
        <f t="shared" si="3"/>
        <v>8381512.3074631952</v>
      </c>
      <c r="G24" s="629">
        <f t="shared" si="4"/>
        <v>342047.5492676078</v>
      </c>
      <c r="H24" s="629">
        <f t="shared" si="5"/>
        <v>342047.5492676078</v>
      </c>
      <c r="I24" s="629">
        <f t="shared" si="6"/>
        <v>9328055.3971344754</v>
      </c>
      <c r="J24" s="630">
        <f t="shared" si="7"/>
        <v>342047.54926760751</v>
      </c>
      <c r="K24" s="629">
        <f t="shared" si="8"/>
        <v>342047.54926760751</v>
      </c>
      <c r="L24" s="630">
        <f t="shared" si="9"/>
        <v>5043687.8099172059</v>
      </c>
      <c r="M24" s="629">
        <f t="shared" si="10"/>
        <v>342047.54926760728</v>
      </c>
      <c r="N24" s="629">
        <f t="shared" si="11"/>
        <v>342047.54926760728</v>
      </c>
      <c r="O24" s="632">
        <f t="shared" si="12"/>
        <v>30712259.116994187</v>
      </c>
    </row>
    <row r="25" spans="1:15" x14ac:dyDescent="0.2">
      <c r="A25" s="602" t="s">
        <v>164</v>
      </c>
      <c r="B25" s="633">
        <f>FOFIR!I26</f>
        <v>4.077705769101999E-2</v>
      </c>
      <c r="C25" s="629">
        <f t="shared" si="0"/>
        <v>3501.3280405780924</v>
      </c>
      <c r="D25" s="630">
        <f t="shared" si="1"/>
        <v>229.31401092645746</v>
      </c>
      <c r="E25" s="629">
        <f t="shared" si="2"/>
        <v>229.31401092645746</v>
      </c>
      <c r="F25" s="630">
        <f t="shared" si="3"/>
        <v>5619.0965524215426</v>
      </c>
      <c r="G25" s="629">
        <f t="shared" si="4"/>
        <v>229.31401092645746</v>
      </c>
      <c r="H25" s="629">
        <f t="shared" si="5"/>
        <v>229.31401092645746</v>
      </c>
      <c r="I25" s="629">
        <f t="shared" si="6"/>
        <v>6253.6738001521626</v>
      </c>
      <c r="J25" s="630">
        <f t="shared" si="7"/>
        <v>229.31401092645726</v>
      </c>
      <c r="K25" s="629">
        <f t="shared" si="8"/>
        <v>229.31401092645726</v>
      </c>
      <c r="L25" s="630">
        <f t="shared" si="9"/>
        <v>3381.3669591537237</v>
      </c>
      <c r="M25" s="629">
        <f t="shared" si="10"/>
        <v>229.31401092645706</v>
      </c>
      <c r="N25" s="629">
        <f t="shared" si="11"/>
        <v>229.31401092645706</v>
      </c>
      <c r="O25" s="632">
        <f t="shared" si="12"/>
        <v>20589.977439717179</v>
      </c>
    </row>
    <row r="26" spans="1:15" ht="13.5" thickBot="1" x14ac:dyDescent="0.25">
      <c r="A26" s="602" t="s">
        <v>165</v>
      </c>
      <c r="B26" s="634">
        <f>FOFIR!I27</f>
        <v>1.4866941600054797</v>
      </c>
      <c r="C26" s="629">
        <f t="shared" si="0"/>
        <v>127655.21214487292</v>
      </c>
      <c r="D26" s="630">
        <f t="shared" si="1"/>
        <v>8360.5787213743752</v>
      </c>
      <c r="E26" s="629">
        <f t="shared" si="2"/>
        <v>8360.5787213743752</v>
      </c>
      <c r="F26" s="630">
        <f t="shared" si="3"/>
        <v>204867.11160701868</v>
      </c>
      <c r="G26" s="629">
        <f t="shared" si="4"/>
        <v>8360.5787213743752</v>
      </c>
      <c r="H26" s="629">
        <f t="shared" si="5"/>
        <v>8360.5787213743752</v>
      </c>
      <c r="I26" s="635">
        <f t="shared" si="6"/>
        <v>228003.21660562008</v>
      </c>
      <c r="J26" s="630">
        <f t="shared" si="7"/>
        <v>8360.5787213743679</v>
      </c>
      <c r="K26" s="629">
        <f t="shared" si="8"/>
        <v>8360.5787213743679</v>
      </c>
      <c r="L26" s="630">
        <f t="shared" si="9"/>
        <v>123281.54103468818</v>
      </c>
      <c r="M26" s="629">
        <f t="shared" si="10"/>
        <v>8360.5787213743624</v>
      </c>
      <c r="N26" s="629">
        <f t="shared" si="11"/>
        <v>8360.5787213743624</v>
      </c>
      <c r="O26" s="632">
        <f t="shared" si="12"/>
        <v>750691.71116319485</v>
      </c>
    </row>
    <row r="27" spans="1:15" ht="13.5" thickBot="1" x14ac:dyDescent="0.25">
      <c r="A27" s="607" t="s">
        <v>288</v>
      </c>
      <c r="B27" s="636">
        <f t="shared" ref="B27:N27" si="13">SUM(B7:B26)</f>
        <v>100</v>
      </c>
      <c r="C27" s="637">
        <f t="shared" si="13"/>
        <v>8586514.6698633973</v>
      </c>
      <c r="D27" s="637">
        <f t="shared" si="13"/>
        <v>562360.3661255762</v>
      </c>
      <c r="E27" s="637">
        <f t="shared" si="13"/>
        <v>562360.3661255762</v>
      </c>
      <c r="F27" s="637">
        <f t="shared" si="13"/>
        <v>13780044.14884253</v>
      </c>
      <c r="G27" s="637">
        <f t="shared" si="13"/>
        <v>562360.3661255762</v>
      </c>
      <c r="H27" s="637">
        <f t="shared" si="13"/>
        <v>562360.3661255762</v>
      </c>
      <c r="I27" s="637">
        <f t="shared" si="13"/>
        <v>15336255.615935141</v>
      </c>
      <c r="J27" s="637">
        <f t="shared" si="13"/>
        <v>562360.36612557573</v>
      </c>
      <c r="K27" s="637">
        <f t="shared" si="13"/>
        <v>562360.36612557573</v>
      </c>
      <c r="L27" s="637">
        <f t="shared" si="13"/>
        <v>8292326.9863543287</v>
      </c>
      <c r="M27" s="637">
        <f t="shared" si="13"/>
        <v>562360.36612557538</v>
      </c>
      <c r="N27" s="637">
        <f t="shared" si="13"/>
        <v>562360.36612557538</v>
      </c>
      <c r="O27" s="637">
        <f t="shared" si="12"/>
        <v>50494024.350000009</v>
      </c>
    </row>
    <row r="28" spans="1:15" x14ac:dyDescent="0.2">
      <c r="A28" s="610"/>
      <c r="B28" s="610"/>
      <c r="C28" s="610"/>
      <c r="D28" s="610"/>
      <c r="E28" s="610"/>
      <c r="F28" s="610"/>
      <c r="G28" s="610"/>
      <c r="H28" s="610"/>
      <c r="I28" s="610"/>
      <c r="J28" s="610"/>
      <c r="K28" s="610"/>
      <c r="L28" s="610"/>
      <c r="M28" s="610"/>
      <c r="N28" s="610"/>
      <c r="O28" s="610"/>
    </row>
    <row r="29" spans="1:15" x14ac:dyDescent="0.2">
      <c r="A29" s="611" t="s">
        <v>289</v>
      </c>
    </row>
    <row r="32" spans="1:15" x14ac:dyDescent="0.2">
      <c r="C32" s="606">
        <f>'FOFIR ESTIMACIONES'!C33</f>
        <v>8586514.6698633973</v>
      </c>
      <c r="D32" s="606">
        <f>'FOFIR ESTIMACIONES'!D33</f>
        <v>562360.3661255762</v>
      </c>
      <c r="E32" s="606">
        <f>'FOFIR ESTIMACIONES'!E33</f>
        <v>562360.3661255762</v>
      </c>
      <c r="F32" s="606">
        <f>'FOFIR ESTIMACIONES'!F33</f>
        <v>13780044.148842528</v>
      </c>
      <c r="G32" s="606">
        <f>'FOFIR ESTIMACIONES'!G33</f>
        <v>562360.3661255762</v>
      </c>
      <c r="H32" s="606">
        <f>'FOFIR ESTIMACIONES'!H33</f>
        <v>562360.3661255762</v>
      </c>
      <c r="I32" s="606">
        <f>'FOFIR ESTIMACIONES'!I33</f>
        <v>15336255.615935136</v>
      </c>
      <c r="J32" s="606">
        <f>'FOFIR ESTIMACIONES'!J33</f>
        <v>562360.36612557573</v>
      </c>
      <c r="K32" s="606">
        <f>'FOFIR ESTIMACIONES'!K33</f>
        <v>562360.36612557573</v>
      </c>
      <c r="L32" s="606">
        <f>'FOFIR ESTIMACIONES'!L33</f>
        <v>8292326.9863543278</v>
      </c>
      <c r="M32" s="606">
        <f>'FOFIR ESTIMACIONES'!M33</f>
        <v>562360.36612557527</v>
      </c>
      <c r="N32" s="606">
        <f>'FOFIR ESTIMACIONES'!N33</f>
        <v>562360.36612557527</v>
      </c>
      <c r="O32" s="606">
        <f>'FOFIR ESTIMACIONES'!O33</f>
        <v>50494024.350000001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topLeftCell="F1" zoomScaleNormal="100" workbookViewId="0">
      <selection sqref="A1:T1"/>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9" customWidth="1"/>
    <col min="8" max="9" width="18.85546875" style="9"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987" t="s">
        <v>435</v>
      </c>
      <c r="B1" s="987"/>
      <c r="C1" s="987"/>
      <c r="D1" s="987"/>
      <c r="E1" s="987"/>
      <c r="F1" s="987"/>
      <c r="G1" s="987"/>
      <c r="H1" s="987"/>
      <c r="I1" s="987"/>
      <c r="J1" s="987"/>
      <c r="K1" s="987"/>
      <c r="L1" s="987"/>
      <c r="M1" s="987"/>
      <c r="N1" s="987"/>
      <c r="O1" s="987"/>
      <c r="P1" s="987"/>
      <c r="Q1" s="987"/>
      <c r="R1" s="987"/>
      <c r="S1" s="987"/>
      <c r="T1" s="987"/>
    </row>
    <row r="2" spans="1:28" ht="15.75" thickBot="1" x14ac:dyDescent="0.3">
      <c r="A2" s="12"/>
      <c r="B2" s="12"/>
      <c r="C2" s="12"/>
      <c r="D2" s="12"/>
      <c r="E2" s="12"/>
      <c r="F2" s="12"/>
      <c r="G2" s="12"/>
      <c r="H2" s="12"/>
      <c r="I2" s="12"/>
      <c r="J2" s="9"/>
    </row>
    <row r="3" spans="1:28" ht="33.75" customHeight="1" x14ac:dyDescent="0.25">
      <c r="A3" s="1020" t="s">
        <v>83</v>
      </c>
      <c r="B3" s="1018" t="s">
        <v>243</v>
      </c>
      <c r="C3" s="1034" t="s">
        <v>198</v>
      </c>
      <c r="D3" s="1038" t="s">
        <v>66</v>
      </c>
      <c r="E3" s="1039"/>
      <c r="F3" s="1039"/>
      <c r="G3" s="1040"/>
      <c r="H3" s="1038" t="s">
        <v>67</v>
      </c>
      <c r="I3" s="1039"/>
      <c r="J3" s="1039"/>
      <c r="K3" s="1039"/>
      <c r="L3" s="1039"/>
      <c r="M3" s="1040"/>
      <c r="N3" s="1041" t="s">
        <v>68</v>
      </c>
      <c r="O3" s="1042"/>
      <c r="P3" s="1042"/>
      <c r="Q3" s="1042"/>
      <c r="R3" s="1042"/>
      <c r="S3" s="1043"/>
      <c r="T3" s="1018" t="s">
        <v>259</v>
      </c>
      <c r="U3" s="1036" t="s">
        <v>515</v>
      </c>
    </row>
    <row r="4" spans="1:28" ht="15" customHeight="1" x14ac:dyDescent="0.25">
      <c r="A4" s="1021"/>
      <c r="B4" s="1019"/>
      <c r="C4" s="1035"/>
      <c r="D4" s="459" t="s">
        <v>69</v>
      </c>
      <c r="E4" s="1026" t="s">
        <v>245</v>
      </c>
      <c r="F4" s="460" t="s">
        <v>138</v>
      </c>
      <c r="G4" s="1030" t="s">
        <v>203</v>
      </c>
      <c r="H4" s="1022" t="s">
        <v>258</v>
      </c>
      <c r="I4" s="1023"/>
      <c r="J4" s="1023"/>
      <c r="K4" s="1026" t="s">
        <v>201</v>
      </c>
      <c r="L4" s="460" t="s">
        <v>22</v>
      </c>
      <c r="M4" s="1030" t="s">
        <v>248</v>
      </c>
      <c r="N4" s="1028" t="s">
        <v>246</v>
      </c>
      <c r="O4" s="1032" t="s">
        <v>251</v>
      </c>
      <c r="P4" s="1032" t="s">
        <v>253</v>
      </c>
      <c r="Q4" s="1032" t="s">
        <v>254</v>
      </c>
      <c r="R4" s="1032" t="s">
        <v>204</v>
      </c>
      <c r="S4" s="1030" t="s">
        <v>257</v>
      </c>
      <c r="T4" s="1019"/>
      <c r="U4" s="1036"/>
    </row>
    <row r="5" spans="1:28" x14ac:dyDescent="0.25">
      <c r="A5" s="1021"/>
      <c r="B5" s="1019"/>
      <c r="C5" s="1035"/>
      <c r="D5" s="461" t="s">
        <v>366</v>
      </c>
      <c r="E5" s="1037"/>
      <c r="F5" s="462" t="s">
        <v>142</v>
      </c>
      <c r="G5" s="1031"/>
      <c r="H5" s="1024"/>
      <c r="I5" s="1025"/>
      <c r="J5" s="1025"/>
      <c r="K5" s="1027"/>
      <c r="L5" s="462" t="s">
        <v>202</v>
      </c>
      <c r="M5" s="1031"/>
      <c r="N5" s="1029"/>
      <c r="O5" s="1033"/>
      <c r="P5" s="1033"/>
      <c r="Q5" s="1033"/>
      <c r="R5" s="1037"/>
      <c r="S5" s="1031"/>
      <c r="T5" s="1019"/>
      <c r="U5" s="1036"/>
    </row>
    <row r="6" spans="1:28" x14ac:dyDescent="0.25">
      <c r="A6" s="1021"/>
      <c r="B6" s="1019"/>
      <c r="C6" s="1035"/>
      <c r="D6" s="461" t="s">
        <v>38</v>
      </c>
      <c r="E6" s="462" t="s">
        <v>37</v>
      </c>
      <c r="F6" s="463">
        <v>0.6</v>
      </c>
      <c r="G6" s="1031"/>
      <c r="H6" s="467">
        <v>2020</v>
      </c>
      <c r="I6" s="558">
        <v>2021</v>
      </c>
      <c r="J6" s="468" t="s">
        <v>200</v>
      </c>
      <c r="K6" s="1027"/>
      <c r="L6" s="463">
        <v>0.3</v>
      </c>
      <c r="M6" s="1031"/>
      <c r="N6" s="1029"/>
      <c r="O6" s="1033"/>
      <c r="P6" s="1033"/>
      <c r="Q6" s="1033"/>
      <c r="R6" s="1037"/>
      <c r="S6" s="1031"/>
      <c r="T6" s="1019"/>
      <c r="U6" s="1036"/>
    </row>
    <row r="7" spans="1:28" ht="15.75" thickBot="1" x14ac:dyDescent="0.3">
      <c r="A7" s="1021"/>
      <c r="B7" s="313" t="s">
        <v>70</v>
      </c>
      <c r="C7" s="313" t="s">
        <v>97</v>
      </c>
      <c r="D7" s="464" t="s">
        <v>71</v>
      </c>
      <c r="E7" s="465" t="s">
        <v>72</v>
      </c>
      <c r="F7" s="465" t="s">
        <v>73</v>
      </c>
      <c r="G7" s="466" t="s">
        <v>100</v>
      </c>
      <c r="H7" s="464" t="s">
        <v>74</v>
      </c>
      <c r="I7" s="465" t="s">
        <v>75</v>
      </c>
      <c r="J7" s="465" t="s">
        <v>199</v>
      </c>
      <c r="K7" s="469" t="s">
        <v>77</v>
      </c>
      <c r="L7" s="465" t="s">
        <v>78</v>
      </c>
      <c r="M7" s="466" t="s">
        <v>247</v>
      </c>
      <c r="N7" s="464" t="s">
        <v>249</v>
      </c>
      <c r="O7" s="465" t="s">
        <v>250</v>
      </c>
      <c r="P7" s="465" t="s">
        <v>252</v>
      </c>
      <c r="Q7" s="465" t="s">
        <v>255</v>
      </c>
      <c r="R7" s="470" t="s">
        <v>79</v>
      </c>
      <c r="S7" s="471" t="s">
        <v>256</v>
      </c>
      <c r="T7" s="312" t="s">
        <v>260</v>
      </c>
      <c r="U7" s="1036"/>
      <c r="W7" s="59"/>
    </row>
    <row r="8" spans="1:28" s="5" customFormat="1" ht="16.5" customHeight="1" x14ac:dyDescent="0.25">
      <c r="A8" s="60" t="s">
        <v>45</v>
      </c>
      <c r="B8" s="61">
        <v>3.62</v>
      </c>
      <c r="C8" s="62">
        <f>$C$28*B8/100</f>
        <v>35350314.18282</v>
      </c>
      <c r="D8" s="63">
        <f>'CENSO 2020'!C10</f>
        <v>37232</v>
      </c>
      <c r="E8" s="64">
        <f>D8/$D$28*100</f>
        <v>3.0136241193535018</v>
      </c>
      <c r="F8" s="65">
        <f>E8*0.6</f>
        <v>1.8081744716121011</v>
      </c>
      <c r="G8" s="66">
        <f>Datos!$I$12*FGP!F8/100</f>
        <v>12824969.128656108</v>
      </c>
      <c r="H8" s="67">
        <f>'Predial y Agua'!D9</f>
        <v>10441632</v>
      </c>
      <c r="I8" s="68">
        <f>'Predial y Agua'!G9</f>
        <v>12154053.73</v>
      </c>
      <c r="J8" s="64">
        <f>I8/H8</f>
        <v>1.1639994332303609</v>
      </c>
      <c r="K8" s="64">
        <f>J8/$J$28*100</f>
        <v>4.8725557232012191</v>
      </c>
      <c r="L8" s="64">
        <f>K8*0.3</f>
        <v>1.4617667169603656</v>
      </c>
      <c r="M8" s="69">
        <f>Datos!$I$12*FGP!L8/100</f>
        <v>10367977.931686787</v>
      </c>
      <c r="N8" s="70">
        <f>G8+M8</f>
        <v>23192947.060342893</v>
      </c>
      <c r="O8" s="64">
        <f>L8+F8</f>
        <v>3.2699411885724667</v>
      </c>
      <c r="P8" s="64">
        <f>MINVERSE(O8)</f>
        <v>0.30581589769709661</v>
      </c>
      <c r="Q8" s="64">
        <f>P8/P$28*100</f>
        <v>4.7101921616142235</v>
      </c>
      <c r="R8" s="64">
        <f>Q8*0.1</f>
        <v>0.47101921616142239</v>
      </c>
      <c r="S8" s="71">
        <f>Datos!$I$12*FGP!R8/100</f>
        <v>3340831.8727607531</v>
      </c>
      <c r="T8" s="72">
        <f>C8+G8+M8+S8</f>
        <v>61884093.115923651</v>
      </c>
      <c r="U8" s="73">
        <f>R8+L8+F8</f>
        <v>3.7409604047338894</v>
      </c>
      <c r="V8" s="74"/>
      <c r="W8" s="75">
        <v>0.97425313870244945</v>
      </c>
      <c r="X8" s="75">
        <f t="shared" ref="X8:X27" si="0">J8-W8</f>
        <v>0.18974629452791147</v>
      </c>
      <c r="Y8" s="76"/>
      <c r="Z8" s="76"/>
      <c r="AA8" s="74"/>
      <c r="AB8" s="74"/>
    </row>
    <row r="9" spans="1:28" s="5" customFormat="1" ht="16.5" customHeight="1" x14ac:dyDescent="0.25">
      <c r="A9" s="60" t="s">
        <v>46</v>
      </c>
      <c r="B9" s="77">
        <v>2.4700000000000002</v>
      </c>
      <c r="C9" s="62">
        <f t="shared" ref="C9:C27" si="1">$C$28*B9/100</f>
        <v>24120241.997670002</v>
      </c>
      <c r="D9" s="63">
        <f>'CENSO 2020'!C11</f>
        <v>15393</v>
      </c>
      <c r="E9" s="64">
        <f t="shared" ref="E9:E27" si="2">D9/$D$28*100</f>
        <v>1.2459367229589724</v>
      </c>
      <c r="F9" s="65">
        <f t="shared" ref="F9:F27" si="3">E9*0.6</f>
        <v>0.74756203377538344</v>
      </c>
      <c r="G9" s="66">
        <f>Datos!$I$12*FGP!F9/100</f>
        <v>5302287.0057317223</v>
      </c>
      <c r="H9" s="67">
        <f>'Predial y Agua'!D10</f>
        <v>4832614</v>
      </c>
      <c r="I9" s="68">
        <f>'Predial y Agua'!G10</f>
        <v>6882965.5</v>
      </c>
      <c r="J9" s="64">
        <f t="shared" ref="J9:J27" si="4">I9/H9</f>
        <v>1.4242737988177827</v>
      </c>
      <c r="K9" s="64">
        <f t="shared" ref="K9:K27" si="5">J9/$J$28*100</f>
        <v>5.962076313538633</v>
      </c>
      <c r="L9" s="78">
        <f t="shared" ref="L9:L27" si="6">K9*0.3</f>
        <v>1.7886228940615898</v>
      </c>
      <c r="M9" s="69">
        <f>Datos!$I$12*FGP!L9/100</f>
        <v>12686294.248306606</v>
      </c>
      <c r="N9" s="79">
        <f t="shared" ref="N9:N28" si="7">G9+M9</f>
        <v>17988581.254038326</v>
      </c>
      <c r="O9" s="78">
        <f t="shared" ref="O9:O27" si="8">L9+F9</f>
        <v>2.536184927836973</v>
      </c>
      <c r="P9" s="78">
        <f t="shared" ref="P9:P27" si="9">MINVERSE(O9)</f>
        <v>0.39429301429248159</v>
      </c>
      <c r="Q9" s="78">
        <f t="shared" ref="Q9:Q27" si="10">P9/P$28*100</f>
        <v>6.0729212551899465</v>
      </c>
      <c r="R9" s="78">
        <f t="shared" ref="R9:R27" si="11">Q9*0.1</f>
        <v>0.6072921255189947</v>
      </c>
      <c r="S9" s="71">
        <f>Datos!$I$12*FGP!R9/100</f>
        <v>4307384.5384583483</v>
      </c>
      <c r="T9" s="72">
        <f t="shared" ref="T9:T27" si="12">C9+G9+M9+S9</f>
        <v>46416207.790166676</v>
      </c>
      <c r="U9" s="73">
        <f t="shared" ref="U9:U28" si="13">R9+L9+F9</f>
        <v>3.1434770533559684</v>
      </c>
      <c r="V9" s="74"/>
      <c r="W9" s="75">
        <v>1.0958106186784708</v>
      </c>
      <c r="X9" s="75">
        <f t="shared" si="0"/>
        <v>0.32846318013931186</v>
      </c>
      <c r="Y9" s="76"/>
      <c r="Z9" s="76"/>
      <c r="AA9" s="74"/>
      <c r="AB9" s="74"/>
    </row>
    <row r="10" spans="1:28" s="5" customFormat="1" ht="16.5" customHeight="1" x14ac:dyDescent="0.25">
      <c r="A10" s="60" t="s">
        <v>47</v>
      </c>
      <c r="B10" s="77">
        <v>2.33</v>
      </c>
      <c r="C10" s="62">
        <f t="shared" si="1"/>
        <v>22753102.77513</v>
      </c>
      <c r="D10" s="63">
        <f>'CENSO 2020'!C12</f>
        <v>11536</v>
      </c>
      <c r="E10" s="64">
        <f t="shared" si="2"/>
        <v>0.93374430169912959</v>
      </c>
      <c r="F10" s="65">
        <f t="shared" si="3"/>
        <v>0.56024658101947777</v>
      </c>
      <c r="G10" s="66">
        <f>Datos!$I$12*FGP!F10/100</f>
        <v>3973701.221212314</v>
      </c>
      <c r="H10" s="67">
        <f>'Predial y Agua'!D11</f>
        <v>3371752</v>
      </c>
      <c r="I10" s="68">
        <f>'Predial y Agua'!G11</f>
        <v>3352527.58</v>
      </c>
      <c r="J10" s="64">
        <f t="shared" si="4"/>
        <v>0.99429838849357843</v>
      </c>
      <c r="K10" s="64">
        <f t="shared" si="5"/>
        <v>4.1621792632482588</v>
      </c>
      <c r="L10" s="78">
        <f t="shared" si="6"/>
        <v>1.2486537789744776</v>
      </c>
      <c r="M10" s="69">
        <f>Datos!$I$12*FGP!L10/100</f>
        <v>8856416.4681796581</v>
      </c>
      <c r="N10" s="79">
        <f t="shared" si="7"/>
        <v>12830117.689391972</v>
      </c>
      <c r="O10" s="78">
        <f t="shared" si="8"/>
        <v>1.8089003599939555</v>
      </c>
      <c r="P10" s="78">
        <f t="shared" si="9"/>
        <v>0.55282204709348481</v>
      </c>
      <c r="Q10" s="78">
        <f t="shared" si="10"/>
        <v>8.5145935597055225</v>
      </c>
      <c r="R10" s="78">
        <f t="shared" si="11"/>
        <v>0.85145935597055233</v>
      </c>
      <c r="S10" s="71">
        <f>Datos!$I$12*FGP!R10/100</f>
        <v>6039207.0157322455</v>
      </c>
      <c r="T10" s="72">
        <f t="shared" si="12"/>
        <v>41622427.480254218</v>
      </c>
      <c r="U10" s="73">
        <f t="shared" si="13"/>
        <v>2.6603597159645074</v>
      </c>
      <c r="V10" s="74"/>
      <c r="W10" s="75">
        <v>1.0258439054458339</v>
      </c>
      <c r="X10" s="75">
        <f t="shared" si="0"/>
        <v>-3.1545516952255492E-2</v>
      </c>
      <c r="Y10" s="76"/>
      <c r="Z10" s="76"/>
      <c r="AA10" s="74"/>
      <c r="AB10" s="74"/>
    </row>
    <row r="11" spans="1:28" s="5" customFormat="1" ht="16.5" customHeight="1" x14ac:dyDescent="0.25">
      <c r="A11" s="60" t="s">
        <v>48</v>
      </c>
      <c r="B11" s="77">
        <v>2.81</v>
      </c>
      <c r="C11" s="62">
        <f t="shared" si="1"/>
        <v>27440437.252410002</v>
      </c>
      <c r="D11" s="63">
        <f>'CENSO 2020'!C13</f>
        <v>187632</v>
      </c>
      <c r="E11" s="64">
        <f t="shared" si="2"/>
        <v>15.187266887691669</v>
      </c>
      <c r="F11" s="65">
        <f t="shared" si="3"/>
        <v>9.1123601326150006</v>
      </c>
      <c r="G11" s="66">
        <f>Datos!$I$12*FGP!F11/100</f>
        <v>64631892.123657137</v>
      </c>
      <c r="H11" s="67">
        <f>'Predial y Agua'!D12</f>
        <v>300634231</v>
      </c>
      <c r="I11" s="68">
        <f>'Predial y Agua'!G12</f>
        <v>336468251.90999997</v>
      </c>
      <c r="J11" s="64">
        <f t="shared" si="4"/>
        <v>1.1191947463560794</v>
      </c>
      <c r="K11" s="64">
        <f t="shared" si="5"/>
        <v>4.6850012216928718</v>
      </c>
      <c r="L11" s="78">
        <f t="shared" si="6"/>
        <v>1.4055003665078616</v>
      </c>
      <c r="M11" s="69">
        <f>Datos!$I$12*FGP!L11/100</f>
        <v>9968893.5408469215</v>
      </c>
      <c r="N11" s="79">
        <f t="shared" si="7"/>
        <v>74600785.664504051</v>
      </c>
      <c r="O11" s="78">
        <f t="shared" si="8"/>
        <v>10.517860499122863</v>
      </c>
      <c r="P11" s="78">
        <f t="shared" si="9"/>
        <v>9.5076370340089131E-2</v>
      </c>
      <c r="Q11" s="78">
        <f t="shared" si="10"/>
        <v>1.4643711386586644</v>
      </c>
      <c r="R11" s="78">
        <f t="shared" si="11"/>
        <v>0.14643711386586644</v>
      </c>
      <c r="S11" s="71">
        <f>Datos!$I$12*FGP!R11/100</f>
        <v>1038645.0500790643</v>
      </c>
      <c r="T11" s="72">
        <f t="shared" si="12"/>
        <v>103079867.96699311</v>
      </c>
      <c r="U11" s="73">
        <f t="shared" si="13"/>
        <v>10.664297612988729</v>
      </c>
      <c r="V11" s="74"/>
      <c r="W11" s="75">
        <v>1.2368625473905901</v>
      </c>
      <c r="X11" s="75">
        <f t="shared" si="0"/>
        <v>-0.11766780103451069</v>
      </c>
      <c r="Y11" s="76"/>
      <c r="Z11" s="76"/>
      <c r="AA11" s="74"/>
      <c r="AB11" s="74"/>
    </row>
    <row r="12" spans="1:28" s="5" customFormat="1" ht="16.5" customHeight="1" x14ac:dyDescent="0.25">
      <c r="A12" s="60" t="s">
        <v>49</v>
      </c>
      <c r="B12" s="77">
        <v>4.6399999999999997</v>
      </c>
      <c r="C12" s="62">
        <f t="shared" si="1"/>
        <v>45310899.947039992</v>
      </c>
      <c r="D12" s="63">
        <f>'CENSO 2020'!C14</f>
        <v>77436</v>
      </c>
      <c r="E12" s="64">
        <f t="shared" si="2"/>
        <v>6.2678071902196431</v>
      </c>
      <c r="F12" s="65">
        <f t="shared" si="3"/>
        <v>3.7606843141317858</v>
      </c>
      <c r="G12" s="66">
        <f>Datos!$I$12*FGP!F12/100</f>
        <v>26673676.123942155</v>
      </c>
      <c r="H12" s="67">
        <f>'Predial y Agua'!D13</f>
        <v>33277744</v>
      </c>
      <c r="I12" s="68">
        <f>'Predial y Agua'!G13</f>
        <v>59487059.099999994</v>
      </c>
      <c r="J12" s="64">
        <f t="shared" si="4"/>
        <v>1.7875929059373734</v>
      </c>
      <c r="K12" s="64">
        <f t="shared" si="5"/>
        <v>7.4829469808300741</v>
      </c>
      <c r="L12" s="78">
        <f t="shared" si="6"/>
        <v>2.2448840942490222</v>
      </c>
      <c r="M12" s="69">
        <f>Datos!$I$12*FGP!L12/100</f>
        <v>15922450.879690962</v>
      </c>
      <c r="N12" s="79">
        <f t="shared" si="7"/>
        <v>42596127.003633119</v>
      </c>
      <c r="O12" s="78">
        <f t="shared" si="8"/>
        <v>6.0055684083808085</v>
      </c>
      <c r="P12" s="78">
        <f t="shared" si="9"/>
        <v>0.16651213207470816</v>
      </c>
      <c r="Q12" s="78">
        <f t="shared" si="10"/>
        <v>2.5646284095040652</v>
      </c>
      <c r="R12" s="78">
        <f t="shared" si="11"/>
        <v>0.25646284095040656</v>
      </c>
      <c r="S12" s="71">
        <f>Datos!$I$12*FGP!R12/100</f>
        <v>1819032.4382270155</v>
      </c>
      <c r="T12" s="72">
        <f t="shared" si="12"/>
        <v>89726059.388900116</v>
      </c>
      <c r="U12" s="73">
        <f t="shared" si="13"/>
        <v>6.2620312493312147</v>
      </c>
      <c r="V12" s="74"/>
      <c r="W12" s="75">
        <v>0.59920521048482089</v>
      </c>
      <c r="X12" s="75">
        <f t="shared" si="0"/>
        <v>1.1883876954525525</v>
      </c>
      <c r="Y12" s="76"/>
      <c r="Z12" s="76"/>
      <c r="AA12" s="74"/>
      <c r="AB12" s="74"/>
    </row>
    <row r="13" spans="1:28" s="5" customFormat="1" ht="16.5" customHeight="1" x14ac:dyDescent="0.25">
      <c r="A13" s="60" t="s">
        <v>50</v>
      </c>
      <c r="B13" s="77">
        <v>1.5</v>
      </c>
      <c r="C13" s="62">
        <f t="shared" si="1"/>
        <v>14647920.241500001</v>
      </c>
      <c r="D13" s="63">
        <f>'CENSO 2020'!C15</f>
        <v>47550</v>
      </c>
      <c r="E13" s="64">
        <f t="shared" si="2"/>
        <v>3.8487813406547868</v>
      </c>
      <c r="F13" s="65">
        <f t="shared" si="3"/>
        <v>2.3092688043928722</v>
      </c>
      <c r="G13" s="66">
        <f>Datos!$I$12*FGP!F13/100</f>
        <v>16379116.944230717</v>
      </c>
      <c r="H13" s="67">
        <f>'Predial y Agua'!D14</f>
        <v>119914</v>
      </c>
      <c r="I13" s="68">
        <f>'Predial y Agua'!G14</f>
        <v>171868.4</v>
      </c>
      <c r="J13" s="64">
        <f t="shared" si="4"/>
        <v>1.4332638390846772</v>
      </c>
      <c r="K13" s="64">
        <f t="shared" si="5"/>
        <v>5.9997090398989021</v>
      </c>
      <c r="L13" s="78">
        <f t="shared" si="6"/>
        <v>1.7999127119696705</v>
      </c>
      <c r="M13" s="69">
        <f>Datos!$I$12*FGP!L13/100</f>
        <v>12766370.351809049</v>
      </c>
      <c r="N13" s="79">
        <f t="shared" si="7"/>
        <v>29145487.296039768</v>
      </c>
      <c r="O13" s="78">
        <f t="shared" si="8"/>
        <v>4.1091815163625425</v>
      </c>
      <c r="P13" s="78">
        <f t="shared" si="9"/>
        <v>0.24335746571867248</v>
      </c>
      <c r="Q13" s="78">
        <f t="shared" si="10"/>
        <v>3.7482041847076806</v>
      </c>
      <c r="R13" s="78">
        <f t="shared" si="11"/>
        <v>0.37482041847076808</v>
      </c>
      <c r="S13" s="71">
        <f>Datos!$I$12*FGP!R13/100</f>
        <v>2658515.7412336259</v>
      </c>
      <c r="T13" s="72">
        <f t="shared" si="12"/>
        <v>46451923.27877339</v>
      </c>
      <c r="U13" s="73">
        <f t="shared" si="13"/>
        <v>4.4840019348333104</v>
      </c>
      <c r="V13" s="74"/>
      <c r="W13" s="75">
        <v>5.0856642738427809</v>
      </c>
      <c r="X13" s="75">
        <f t="shared" si="0"/>
        <v>-3.6524004347581034</v>
      </c>
      <c r="Y13" s="76"/>
      <c r="Z13" s="76"/>
      <c r="AA13" s="74"/>
      <c r="AB13" s="74"/>
    </row>
    <row r="14" spans="1:28" s="5" customFormat="1" ht="16.5" customHeight="1" x14ac:dyDescent="0.25">
      <c r="A14" s="60" t="s">
        <v>51</v>
      </c>
      <c r="B14" s="77">
        <v>1.53</v>
      </c>
      <c r="C14" s="62">
        <f t="shared" si="1"/>
        <v>14940878.646330001</v>
      </c>
      <c r="D14" s="63">
        <f>'CENSO 2020'!C16</f>
        <v>12230</v>
      </c>
      <c r="E14" s="64">
        <f t="shared" si="2"/>
        <v>0.98991789266473262</v>
      </c>
      <c r="F14" s="65">
        <f t="shared" si="3"/>
        <v>0.5939507355988396</v>
      </c>
      <c r="G14" s="66">
        <f>Datos!$I$12*FGP!F14/100</f>
        <v>4212757.1025855234</v>
      </c>
      <c r="H14" s="67">
        <f>'Predial y Agua'!D15</f>
        <v>124702</v>
      </c>
      <c r="I14" s="68">
        <f>'Predial y Agua'!G15</f>
        <v>148220.89000000001</v>
      </c>
      <c r="J14" s="64">
        <f t="shared" si="4"/>
        <v>1.1886007441741111</v>
      </c>
      <c r="K14" s="64">
        <f t="shared" si="5"/>
        <v>4.9755379541328555</v>
      </c>
      <c r="L14" s="78">
        <f t="shared" si="6"/>
        <v>1.4926613862398566</v>
      </c>
      <c r="M14" s="69">
        <f>Datos!$I$12*FGP!L14/100</f>
        <v>10587106.774599968</v>
      </c>
      <c r="N14" s="79">
        <f t="shared" si="7"/>
        <v>14799863.87718549</v>
      </c>
      <c r="O14" s="78">
        <f t="shared" si="8"/>
        <v>2.0866121218386962</v>
      </c>
      <c r="P14" s="78">
        <f t="shared" si="9"/>
        <v>0.47924575417438514</v>
      </c>
      <c r="Q14" s="78">
        <f t="shared" si="10"/>
        <v>7.381367717629014</v>
      </c>
      <c r="R14" s="78">
        <f t="shared" si="11"/>
        <v>0.73813677176290149</v>
      </c>
      <c r="S14" s="71">
        <f>Datos!$I$12*FGP!R14/100</f>
        <v>5235435.77193911</v>
      </c>
      <c r="T14" s="72">
        <f t="shared" si="12"/>
        <v>34976178.295454606</v>
      </c>
      <c r="U14" s="73">
        <f t="shared" si="13"/>
        <v>2.8247488936015976</v>
      </c>
      <c r="V14" s="74"/>
      <c r="W14" s="75">
        <v>0.76323116375625843</v>
      </c>
      <c r="X14" s="75">
        <f t="shared" si="0"/>
        <v>0.42536958041785267</v>
      </c>
      <c r="Y14" s="76"/>
      <c r="Z14" s="76"/>
      <c r="AA14" s="74"/>
      <c r="AB14" s="74"/>
    </row>
    <row r="15" spans="1:28" s="5" customFormat="1" ht="16.5" customHeight="1" x14ac:dyDescent="0.25">
      <c r="A15" s="60" t="s">
        <v>52</v>
      </c>
      <c r="B15" s="77">
        <v>3.16</v>
      </c>
      <c r="C15" s="62">
        <f t="shared" si="1"/>
        <v>30858285.308760002</v>
      </c>
      <c r="D15" s="63">
        <f>'CENSO 2020'!C17</f>
        <v>29299</v>
      </c>
      <c r="E15" s="64">
        <f t="shared" si="2"/>
        <v>2.3715130283878989</v>
      </c>
      <c r="F15" s="65">
        <f t="shared" si="3"/>
        <v>1.4229078170327394</v>
      </c>
      <c r="G15" s="66">
        <f>Datos!$I$12*FGP!F15/100</f>
        <v>10092360.617224306</v>
      </c>
      <c r="H15" s="67">
        <f>'Predial y Agua'!D16</f>
        <v>12844378</v>
      </c>
      <c r="I15" s="68">
        <f>'Predial y Agua'!G16</f>
        <v>13225625.039999999</v>
      </c>
      <c r="J15" s="64">
        <f t="shared" si="4"/>
        <v>1.029682016521158</v>
      </c>
      <c r="K15" s="64">
        <f t="shared" si="5"/>
        <v>4.3102967745901095</v>
      </c>
      <c r="L15" s="78">
        <f t="shared" si="6"/>
        <v>1.2930890323770328</v>
      </c>
      <c r="M15" s="69">
        <f>Datos!$I$12*FGP!L15/100</f>
        <v>9171585.5860157795</v>
      </c>
      <c r="N15" s="79">
        <f t="shared" si="7"/>
        <v>19263946.203240085</v>
      </c>
      <c r="O15" s="78">
        <f t="shared" si="8"/>
        <v>2.7159968494097724</v>
      </c>
      <c r="P15" s="78">
        <f t="shared" si="9"/>
        <v>0.36818893962167715</v>
      </c>
      <c r="Q15" s="78">
        <f t="shared" si="10"/>
        <v>5.6708649565262332</v>
      </c>
      <c r="R15" s="78">
        <f t="shared" si="11"/>
        <v>0.56708649565262337</v>
      </c>
      <c r="S15" s="71">
        <f>Datos!$I$12*FGP!R15/100</f>
        <v>4022215.175695105</v>
      </c>
      <c r="T15" s="72">
        <f t="shared" si="12"/>
        <v>54144446.68769519</v>
      </c>
      <c r="U15" s="73">
        <f t="shared" si="13"/>
        <v>3.2830833450623955</v>
      </c>
      <c r="V15" s="74"/>
      <c r="W15" s="75">
        <v>1.5455894402307131</v>
      </c>
      <c r="X15" s="75">
        <f t="shared" si="0"/>
        <v>-0.51590742370955511</v>
      </c>
      <c r="Y15" s="76"/>
      <c r="Z15" s="76"/>
      <c r="AA15" s="74"/>
      <c r="AB15" s="74"/>
    </row>
    <row r="16" spans="1:28" s="5" customFormat="1" ht="16.5" customHeight="1" x14ac:dyDescent="0.25">
      <c r="A16" s="60" t="s">
        <v>53</v>
      </c>
      <c r="B16" s="77">
        <v>2.81</v>
      </c>
      <c r="C16" s="62">
        <f t="shared" si="1"/>
        <v>27440437.252410002</v>
      </c>
      <c r="D16" s="63">
        <f>'CENSO 2020'!C18</f>
        <v>19321</v>
      </c>
      <c r="E16" s="64">
        <f t="shared" si="2"/>
        <v>1.563876010153336</v>
      </c>
      <c r="F16" s="65">
        <f t="shared" si="3"/>
        <v>0.93832560609200155</v>
      </c>
      <c r="G16" s="66">
        <f>Datos!$I$12*FGP!F16/100</f>
        <v>6655329.5158671215</v>
      </c>
      <c r="H16" s="67">
        <f>'Predial y Agua'!D17</f>
        <v>3780718</v>
      </c>
      <c r="I16" s="68">
        <f>'Predial y Agua'!G17</f>
        <v>5088832.29</v>
      </c>
      <c r="J16" s="64">
        <f t="shared" si="4"/>
        <v>1.3459962604986673</v>
      </c>
      <c r="K16" s="64">
        <f t="shared" si="5"/>
        <v>5.6344029002652212</v>
      </c>
      <c r="L16" s="78">
        <f t="shared" si="6"/>
        <v>1.6903208700795662</v>
      </c>
      <c r="M16" s="69">
        <f>Datos!$I$12*FGP!L16/100</f>
        <v>11989060.412387082</v>
      </c>
      <c r="N16" s="79">
        <f t="shared" si="7"/>
        <v>18644389.928254202</v>
      </c>
      <c r="O16" s="78">
        <f t="shared" si="8"/>
        <v>2.6286464761715678</v>
      </c>
      <c r="P16" s="78">
        <f t="shared" si="9"/>
        <v>0.38042392123281149</v>
      </c>
      <c r="Q16" s="78">
        <f t="shared" si="10"/>
        <v>5.8593087716327297</v>
      </c>
      <c r="R16" s="78">
        <f t="shared" si="11"/>
        <v>0.58593087716327297</v>
      </c>
      <c r="S16" s="71">
        <f>Datos!$I$12*FGP!R16/100</f>
        <v>4155874.0758272521</v>
      </c>
      <c r="T16" s="72">
        <f t="shared" si="12"/>
        <v>50240701.256491452</v>
      </c>
      <c r="U16" s="73">
        <f t="shared" si="13"/>
        <v>3.2145773533348407</v>
      </c>
      <c r="V16" s="74"/>
      <c r="W16" s="75">
        <v>1.3217513416832607</v>
      </c>
      <c r="X16" s="75">
        <f t="shared" si="0"/>
        <v>2.424491881540658E-2</v>
      </c>
      <c r="Y16" s="76"/>
      <c r="Z16" s="76"/>
      <c r="AA16" s="74"/>
      <c r="AB16" s="74"/>
    </row>
    <row r="17" spans="1:28" s="5" customFormat="1" ht="16.5" customHeight="1" x14ac:dyDescent="0.25">
      <c r="A17" s="60" t="s">
        <v>54</v>
      </c>
      <c r="B17" s="77">
        <v>1.6</v>
      </c>
      <c r="C17" s="62">
        <f t="shared" si="1"/>
        <v>15624448.257600002</v>
      </c>
      <c r="D17" s="63">
        <f>'CENSO 2020'!C19</f>
        <v>13719</v>
      </c>
      <c r="E17" s="64">
        <f t="shared" si="2"/>
        <v>1.1104401937422297</v>
      </c>
      <c r="F17" s="65">
        <f t="shared" si="3"/>
        <v>0.66626411624533777</v>
      </c>
      <c r="G17" s="66">
        <f>Datos!$I$12*FGP!F17/100</f>
        <v>4725659.4186730012</v>
      </c>
      <c r="H17" s="67">
        <f>'Predial y Agua'!D18</f>
        <v>692496</v>
      </c>
      <c r="I17" s="68">
        <f>'Predial y Agua'!G18</f>
        <v>838691.02</v>
      </c>
      <c r="J17" s="64">
        <f t="shared" si="4"/>
        <v>1.2111131616644717</v>
      </c>
      <c r="K17" s="64">
        <f t="shared" si="5"/>
        <v>5.0697759799893873</v>
      </c>
      <c r="L17" s="78">
        <f t="shared" si="6"/>
        <v>1.5209327939968162</v>
      </c>
      <c r="M17" s="69">
        <f>Datos!$I$12*FGP!L17/100</f>
        <v>10787629.421832895</v>
      </c>
      <c r="N17" s="79">
        <f t="shared" si="7"/>
        <v>15513288.840505896</v>
      </c>
      <c r="O17" s="78">
        <f t="shared" si="8"/>
        <v>2.1871969102421538</v>
      </c>
      <c r="P17" s="78">
        <f t="shared" si="9"/>
        <v>0.45720620549399266</v>
      </c>
      <c r="Q17" s="78">
        <f t="shared" si="10"/>
        <v>7.0419134570047959</v>
      </c>
      <c r="R17" s="78">
        <f t="shared" si="11"/>
        <v>0.70419134570047959</v>
      </c>
      <c r="S17" s="71">
        <f>Datos!$I$12*FGP!R17/100</f>
        <v>4994668.606964427</v>
      </c>
      <c r="T17" s="72">
        <f t="shared" si="12"/>
        <v>36132405.705070324</v>
      </c>
      <c r="U17" s="73">
        <f t="shared" si="13"/>
        <v>2.8913882559426334</v>
      </c>
      <c r="V17" s="74"/>
      <c r="W17" s="75">
        <v>1.0641937928415424</v>
      </c>
      <c r="X17" s="75">
        <f t="shared" si="0"/>
        <v>0.14691936882292933</v>
      </c>
      <c r="Y17" s="76"/>
      <c r="Z17" s="76"/>
      <c r="AA17" s="74"/>
      <c r="AB17" s="74"/>
    </row>
    <row r="18" spans="1:28" s="5" customFormat="1" ht="16.5" customHeight="1" x14ac:dyDescent="0.25">
      <c r="A18" s="60" t="s">
        <v>55</v>
      </c>
      <c r="B18" s="77">
        <v>2.84</v>
      </c>
      <c r="C18" s="62">
        <f t="shared" si="1"/>
        <v>27733395.65724</v>
      </c>
      <c r="D18" s="63">
        <f>'CENSO 2020'!C20</f>
        <v>33567</v>
      </c>
      <c r="E18" s="64">
        <f t="shared" si="2"/>
        <v>2.7169725186489848</v>
      </c>
      <c r="F18" s="65">
        <f t="shared" si="3"/>
        <v>1.6301835111893908</v>
      </c>
      <c r="G18" s="66">
        <f>Datos!$I$12*FGP!F18/100</f>
        <v>11562519.841577128</v>
      </c>
      <c r="H18" s="67">
        <f>'Predial y Agua'!D19</f>
        <v>2398188</v>
      </c>
      <c r="I18" s="68">
        <f>'Predial y Agua'!G19</f>
        <v>2832078.8</v>
      </c>
      <c r="J18" s="64">
        <f t="shared" si="4"/>
        <v>1.1809244312789489</v>
      </c>
      <c r="K18" s="64">
        <f t="shared" si="5"/>
        <v>4.9434045516048108</v>
      </c>
      <c r="L18" s="78">
        <f t="shared" si="6"/>
        <v>1.4830213654814433</v>
      </c>
      <c r="M18" s="69">
        <f>Datos!$I$12*FGP!L18/100</f>
        <v>10518732.306003457</v>
      </c>
      <c r="N18" s="79">
        <f t="shared" si="7"/>
        <v>22081252.147580586</v>
      </c>
      <c r="O18" s="78">
        <f t="shared" si="8"/>
        <v>3.1132048766708342</v>
      </c>
      <c r="P18" s="78">
        <f t="shared" si="9"/>
        <v>0.32121239674703622</v>
      </c>
      <c r="Q18" s="78">
        <f t="shared" si="10"/>
        <v>4.9473298306740459</v>
      </c>
      <c r="R18" s="78">
        <f t="shared" si="11"/>
        <v>0.4947329830674046</v>
      </c>
      <c r="S18" s="71">
        <f>Datos!$I$12*FGP!R18/100</f>
        <v>3509028.2129193544</v>
      </c>
      <c r="T18" s="72">
        <f t="shared" si="12"/>
        <v>53323676.017739944</v>
      </c>
      <c r="U18" s="73">
        <f t="shared" si="13"/>
        <v>3.6079378597382386</v>
      </c>
      <c r="V18" s="74"/>
      <c r="W18" s="75">
        <v>0.85819469233584766</v>
      </c>
      <c r="X18" s="75">
        <f t="shared" si="0"/>
        <v>0.3227297389431012</v>
      </c>
      <c r="Y18" s="76"/>
      <c r="Z18" s="76"/>
      <c r="AA18" s="74"/>
      <c r="AB18" s="74"/>
    </row>
    <row r="19" spans="1:28" s="5" customFormat="1" ht="16.5" customHeight="1" x14ac:dyDescent="0.25">
      <c r="A19" s="60" t="s">
        <v>56</v>
      </c>
      <c r="B19" s="77">
        <v>3.33</v>
      </c>
      <c r="C19" s="62">
        <f t="shared" si="1"/>
        <v>32518382.936129998</v>
      </c>
      <c r="D19" s="63">
        <f>'CENSO 2020'!C21</f>
        <v>24096</v>
      </c>
      <c r="E19" s="64">
        <f t="shared" si="2"/>
        <v>1.9503729796933278</v>
      </c>
      <c r="F19" s="65">
        <f t="shared" si="3"/>
        <v>1.1702237878159967</v>
      </c>
      <c r="G19" s="66">
        <f>Datos!$I$12*FGP!F19/100</f>
        <v>8300130.4287735708</v>
      </c>
      <c r="H19" s="67">
        <f>'Predial y Agua'!D20</f>
        <v>3362045</v>
      </c>
      <c r="I19" s="68">
        <f>'Predial y Agua'!G20</f>
        <v>3147655.25</v>
      </c>
      <c r="J19" s="64">
        <f t="shared" si="4"/>
        <v>0.93623233775871528</v>
      </c>
      <c r="K19" s="64">
        <f t="shared" si="5"/>
        <v>3.9191120763110154</v>
      </c>
      <c r="L19" s="78">
        <f t="shared" si="6"/>
        <v>1.1757336228933046</v>
      </c>
      <c r="M19" s="69">
        <f>Datos!$I$12*FGP!L19/100</f>
        <v>8339210.432324036</v>
      </c>
      <c r="N19" s="79">
        <f t="shared" si="7"/>
        <v>16639340.861097608</v>
      </c>
      <c r="O19" s="78">
        <f t="shared" si="8"/>
        <v>2.3459574107093015</v>
      </c>
      <c r="P19" s="78">
        <f t="shared" si="9"/>
        <v>0.4262651979251616</v>
      </c>
      <c r="Q19" s="78">
        <f t="shared" si="10"/>
        <v>6.5653584694432778</v>
      </c>
      <c r="R19" s="78">
        <f t="shared" si="11"/>
        <v>0.65653584694432787</v>
      </c>
      <c r="S19" s="71">
        <f>Datos!$I$12*FGP!R19/100</f>
        <v>4656659.0232910942</v>
      </c>
      <c r="T19" s="72">
        <f t="shared" si="12"/>
        <v>53814382.820518702</v>
      </c>
      <c r="U19" s="73">
        <f t="shared" si="13"/>
        <v>3.0024932576536294</v>
      </c>
      <c r="V19" s="74"/>
      <c r="W19" s="75">
        <v>0.30847701853884074</v>
      </c>
      <c r="X19" s="75">
        <f t="shared" si="0"/>
        <v>0.6277553192198746</v>
      </c>
      <c r="Y19" s="76"/>
      <c r="Z19" s="76"/>
      <c r="AA19" s="74"/>
      <c r="AB19" s="74"/>
    </row>
    <row r="20" spans="1:28" s="5" customFormat="1" ht="16.5" customHeight="1" x14ac:dyDescent="0.25">
      <c r="A20" s="60" t="s">
        <v>57</v>
      </c>
      <c r="B20" s="77">
        <v>4.6900000000000004</v>
      </c>
      <c r="C20" s="62">
        <f t="shared" si="1"/>
        <v>45799163.955090009</v>
      </c>
      <c r="D20" s="63">
        <f>'CENSO 2020'!C22</f>
        <v>41518</v>
      </c>
      <c r="E20" s="64">
        <f t="shared" si="2"/>
        <v>3.3605405615416495</v>
      </c>
      <c r="F20" s="65">
        <f t="shared" si="3"/>
        <v>2.0163243369249897</v>
      </c>
      <c r="G20" s="66">
        <f>Datos!$I$12*FGP!F20/100</f>
        <v>14301328.649643973</v>
      </c>
      <c r="H20" s="67">
        <f>'Predial y Agua'!D21</f>
        <v>5040672</v>
      </c>
      <c r="I20" s="68">
        <f>'Predial y Agua'!G21</f>
        <v>6543396.5999999996</v>
      </c>
      <c r="J20" s="64">
        <f t="shared" si="4"/>
        <v>1.2981198935380043</v>
      </c>
      <c r="K20" s="64">
        <f t="shared" si="5"/>
        <v>5.4339902031620495</v>
      </c>
      <c r="L20" s="78">
        <f t="shared" si="6"/>
        <v>1.6301970609486147</v>
      </c>
      <c r="M20" s="69">
        <f>Datos!$I$12*FGP!L20/100</f>
        <v>11562615.946928946</v>
      </c>
      <c r="N20" s="79">
        <f t="shared" si="7"/>
        <v>25863944.596572921</v>
      </c>
      <c r="O20" s="78">
        <f t="shared" si="8"/>
        <v>3.6465213978736042</v>
      </c>
      <c r="P20" s="78">
        <f t="shared" si="9"/>
        <v>0.27423395913242959</v>
      </c>
      <c r="Q20" s="78">
        <f t="shared" si="10"/>
        <v>4.2237655219396029</v>
      </c>
      <c r="R20" s="78">
        <f t="shared" si="11"/>
        <v>0.42237655219396031</v>
      </c>
      <c r="S20" s="71">
        <f>Datos!$I$12*FGP!R20/100</f>
        <v>2995820.5513908076</v>
      </c>
      <c r="T20" s="72">
        <f t="shared" si="12"/>
        <v>74658929.103053734</v>
      </c>
      <c r="U20" s="73">
        <f t="shared" si="13"/>
        <v>4.0688979500675648</v>
      </c>
      <c r="V20" s="74"/>
      <c r="W20" s="75">
        <v>0.9189459125639704</v>
      </c>
      <c r="X20" s="75">
        <f t="shared" si="0"/>
        <v>0.37917398097403388</v>
      </c>
      <c r="Y20" s="76"/>
      <c r="Z20" s="76"/>
      <c r="AA20" s="74"/>
      <c r="AB20" s="74"/>
    </row>
    <row r="21" spans="1:28" s="5" customFormat="1" ht="16.5" customHeight="1" x14ac:dyDescent="0.25">
      <c r="A21" s="60" t="s">
        <v>58</v>
      </c>
      <c r="B21" s="77">
        <v>2.13</v>
      </c>
      <c r="C21" s="62">
        <f t="shared" si="1"/>
        <v>20800046.742929999</v>
      </c>
      <c r="D21" s="63">
        <f>'CENSO 2020'!C23</f>
        <v>7683</v>
      </c>
      <c r="E21" s="64">
        <f t="shared" si="2"/>
        <v>0.62187564753418989</v>
      </c>
      <c r="F21" s="65">
        <f t="shared" si="3"/>
        <v>0.37312538852051391</v>
      </c>
      <c r="G21" s="66">
        <f>Datos!$I$12*FGP!F21/100</f>
        <v>2646493.2803895813</v>
      </c>
      <c r="H21" s="67">
        <f>'Predial y Agua'!D22</f>
        <v>1848192</v>
      </c>
      <c r="I21" s="68">
        <f>'Predial y Agua'!G22</f>
        <v>2330761.59</v>
      </c>
      <c r="J21" s="64">
        <f t="shared" si="4"/>
        <v>1.2611036028724287</v>
      </c>
      <c r="K21" s="64">
        <f t="shared" si="5"/>
        <v>5.279038290141199</v>
      </c>
      <c r="L21" s="78">
        <f t="shared" si="6"/>
        <v>1.5837114870423596</v>
      </c>
      <c r="M21" s="69">
        <f>Datos!$I$12*FGP!L21/100</f>
        <v>11232904.373385906</v>
      </c>
      <c r="N21" s="79">
        <f t="shared" si="7"/>
        <v>13879397.653775487</v>
      </c>
      <c r="O21" s="78">
        <f t="shared" si="8"/>
        <v>1.9568368755628736</v>
      </c>
      <c r="P21" s="78">
        <f t="shared" si="9"/>
        <v>0.51102879983920757</v>
      </c>
      <c r="Q21" s="78">
        <f t="shared" si="10"/>
        <v>7.8708918191881567</v>
      </c>
      <c r="R21" s="78">
        <f t="shared" si="11"/>
        <v>0.78708918191881572</v>
      </c>
      <c r="S21" s="71">
        <f>Datos!$I$12*FGP!R21/100</f>
        <v>5582644.052378539</v>
      </c>
      <c r="T21" s="72">
        <f t="shared" si="12"/>
        <v>40262088.449084029</v>
      </c>
      <c r="U21" s="73">
        <f t="shared" si="13"/>
        <v>2.7439260574816893</v>
      </c>
      <c r="V21" s="74"/>
      <c r="W21" s="75">
        <v>0.95554775379956836</v>
      </c>
      <c r="X21" s="75">
        <f t="shared" si="0"/>
        <v>0.30555584907286037</v>
      </c>
      <c r="Y21" s="76"/>
      <c r="Z21" s="76"/>
      <c r="AA21" s="74"/>
      <c r="AB21" s="74"/>
    </row>
    <row r="22" spans="1:28" s="5" customFormat="1" ht="16.5" customHeight="1" x14ac:dyDescent="0.25">
      <c r="A22" s="60" t="s">
        <v>59</v>
      </c>
      <c r="B22" s="77">
        <v>2.81</v>
      </c>
      <c r="C22" s="62">
        <f t="shared" si="1"/>
        <v>27440437.252410002</v>
      </c>
      <c r="D22" s="63">
        <f>'CENSO 2020'!C24</f>
        <v>24911</v>
      </c>
      <c r="E22" s="64">
        <f t="shared" si="2"/>
        <v>2.0163405252797348</v>
      </c>
      <c r="F22" s="65">
        <f t="shared" si="3"/>
        <v>1.2098043151678408</v>
      </c>
      <c r="G22" s="66">
        <f>Datos!$I$12*FGP!F22/100</f>
        <v>8580866.0819712169</v>
      </c>
      <c r="H22" s="67">
        <f>'Predial y Agua'!D23</f>
        <v>3282568</v>
      </c>
      <c r="I22" s="68">
        <f>'Predial y Agua'!G23</f>
        <v>4292702.12</v>
      </c>
      <c r="J22" s="64">
        <f t="shared" si="4"/>
        <v>1.3077267919506923</v>
      </c>
      <c r="K22" s="64">
        <f t="shared" si="5"/>
        <v>5.4742051263884699</v>
      </c>
      <c r="L22" s="78">
        <f t="shared" si="6"/>
        <v>1.6422615379165408</v>
      </c>
      <c r="M22" s="69">
        <f>Datos!$I$12*FGP!L22/100</f>
        <v>11648186.530462896</v>
      </c>
      <c r="N22" s="79">
        <f t="shared" si="7"/>
        <v>20229052.612434112</v>
      </c>
      <c r="O22" s="78">
        <f t="shared" si="8"/>
        <v>2.8520658530843814</v>
      </c>
      <c r="P22" s="78">
        <f t="shared" si="9"/>
        <v>0.35062304010917028</v>
      </c>
      <c r="Q22" s="78">
        <f t="shared" si="10"/>
        <v>5.4003140701316221</v>
      </c>
      <c r="R22" s="78">
        <f t="shared" si="11"/>
        <v>0.54003140701316221</v>
      </c>
      <c r="S22" s="71">
        <f>Datos!$I$12*FGP!R22/100</f>
        <v>3830319.6025512214</v>
      </c>
      <c r="T22" s="72">
        <f t="shared" si="12"/>
        <v>51499809.467395343</v>
      </c>
      <c r="U22" s="73">
        <f t="shared" si="13"/>
        <v>3.3920972600975436</v>
      </c>
      <c r="V22" s="74"/>
      <c r="W22" s="75">
        <v>1.699762368686244</v>
      </c>
      <c r="X22" s="75">
        <f t="shared" si="0"/>
        <v>-0.39203557673555167</v>
      </c>
      <c r="Y22" s="76"/>
      <c r="Z22" s="76"/>
      <c r="AA22" s="74"/>
      <c r="AB22" s="74"/>
    </row>
    <row r="23" spans="1:28" s="5" customFormat="1" ht="16.5" customHeight="1" x14ac:dyDescent="0.25">
      <c r="A23" s="60" t="s">
        <v>60</v>
      </c>
      <c r="B23" s="77">
        <v>8.34</v>
      </c>
      <c r="C23" s="62">
        <f t="shared" si="1"/>
        <v>81442436.542740002</v>
      </c>
      <c r="D23" s="63">
        <f>'CENSO 2020'!C25</f>
        <v>93981</v>
      </c>
      <c r="E23" s="64">
        <f t="shared" si="2"/>
        <v>7.6069888365105687</v>
      </c>
      <c r="F23" s="65">
        <f t="shared" si="3"/>
        <v>4.5641933019063412</v>
      </c>
      <c r="G23" s="66">
        <f>Datos!$I$12*FGP!F23/100</f>
        <v>32372782.114316445</v>
      </c>
      <c r="H23" s="67">
        <f>'Predial y Agua'!D24</f>
        <v>16581584</v>
      </c>
      <c r="I23" s="68">
        <f>'Predial y Agua'!G24</f>
        <v>20249401.050000001</v>
      </c>
      <c r="J23" s="64">
        <f t="shared" si="4"/>
        <v>1.2211982311219483</v>
      </c>
      <c r="K23" s="64">
        <f t="shared" si="5"/>
        <v>5.1119925494318093</v>
      </c>
      <c r="L23" s="78">
        <f t="shared" si="6"/>
        <v>1.5335977648295427</v>
      </c>
      <c r="M23" s="69">
        <f>Datos!$I$12*FGP!L23/100</f>
        <v>10877459.171392534</v>
      </c>
      <c r="N23" s="79">
        <f t="shared" si="7"/>
        <v>43250241.285708979</v>
      </c>
      <c r="O23" s="78">
        <f t="shared" si="8"/>
        <v>6.0977910667358834</v>
      </c>
      <c r="P23" s="78">
        <f t="shared" si="9"/>
        <v>0.16399381170258673</v>
      </c>
      <c r="Q23" s="78">
        <f t="shared" si="10"/>
        <v>2.5258411098034181</v>
      </c>
      <c r="R23" s="78">
        <f t="shared" si="11"/>
        <v>0.25258411098034184</v>
      </c>
      <c r="S23" s="71">
        <f>Datos!$I$12*FGP!R23/100</f>
        <v>1791521.491188745</v>
      </c>
      <c r="T23" s="72">
        <f t="shared" si="12"/>
        <v>126484199.31963773</v>
      </c>
      <c r="U23" s="73">
        <f t="shared" si="13"/>
        <v>6.3503751777162254</v>
      </c>
      <c r="V23" s="74"/>
      <c r="W23" s="75">
        <v>1.2135546261977699</v>
      </c>
      <c r="X23" s="75">
        <f t="shared" si="0"/>
        <v>7.643604924178371E-3</v>
      </c>
      <c r="Y23" s="76"/>
      <c r="Z23" s="76"/>
      <c r="AA23" s="74"/>
      <c r="AB23" s="74"/>
    </row>
    <row r="24" spans="1:28" s="5" customFormat="1" ht="16.5" customHeight="1" x14ac:dyDescent="0.25">
      <c r="A24" s="60" t="s">
        <v>61</v>
      </c>
      <c r="B24" s="77">
        <v>3.5</v>
      </c>
      <c r="C24" s="62">
        <f t="shared" si="1"/>
        <v>34178480.563500002</v>
      </c>
      <c r="D24" s="63">
        <f>'CENSO 2020'!C26</f>
        <v>37135</v>
      </c>
      <c r="E24" s="64">
        <f t="shared" si="2"/>
        <v>3.0057727673021133</v>
      </c>
      <c r="F24" s="65">
        <f t="shared" si="3"/>
        <v>1.8034636603812679</v>
      </c>
      <c r="G24" s="66">
        <f>Datos!$I$12*FGP!F24/100</f>
        <v>12791556.419011723</v>
      </c>
      <c r="H24" s="67">
        <f>'Predial y Agua'!D25</f>
        <v>5174485</v>
      </c>
      <c r="I24" s="68">
        <f>'Predial y Agua'!G25</f>
        <v>6350766.8900000006</v>
      </c>
      <c r="J24" s="64">
        <f t="shared" si="4"/>
        <v>1.2273234708381608</v>
      </c>
      <c r="K24" s="64">
        <f t="shared" si="5"/>
        <v>5.1376330875482097</v>
      </c>
      <c r="L24" s="78">
        <f t="shared" si="6"/>
        <v>1.5412899262644628</v>
      </c>
      <c r="M24" s="69">
        <f>Datos!$I$12*FGP!L24/100</f>
        <v>10932017.91806455</v>
      </c>
      <c r="N24" s="79">
        <f t="shared" si="7"/>
        <v>23723574.337076273</v>
      </c>
      <c r="O24" s="78">
        <f t="shared" si="8"/>
        <v>3.344753586645731</v>
      </c>
      <c r="P24" s="78">
        <f t="shared" si="9"/>
        <v>0.29897568657751106</v>
      </c>
      <c r="Q24" s="78">
        <f t="shared" si="10"/>
        <v>4.6048388786689074</v>
      </c>
      <c r="R24" s="78">
        <f t="shared" si="11"/>
        <v>0.46048388786689076</v>
      </c>
      <c r="S24" s="71">
        <f>Datos!$I$12*FGP!R24/100</f>
        <v>3266107.1920073731</v>
      </c>
      <c r="T24" s="72">
        <f t="shared" si="12"/>
        <v>61168162.092583649</v>
      </c>
      <c r="U24" s="73">
        <f t="shared" si="13"/>
        <v>3.8052374745126212</v>
      </c>
      <c r="V24" s="74"/>
      <c r="W24" s="75">
        <v>0.93743913529070699</v>
      </c>
      <c r="X24" s="75">
        <f t="shared" si="0"/>
        <v>0.28988433554745385</v>
      </c>
      <c r="Y24" s="76"/>
      <c r="Z24" s="76"/>
      <c r="AA24" s="74"/>
      <c r="AB24" s="74"/>
    </row>
    <row r="25" spans="1:28" s="5" customFormat="1" ht="16.5" customHeight="1" x14ac:dyDescent="0.25">
      <c r="A25" s="60" t="s">
        <v>62</v>
      </c>
      <c r="B25" s="77">
        <v>39</v>
      </c>
      <c r="C25" s="62">
        <f t="shared" si="1"/>
        <v>380845926.27900004</v>
      </c>
      <c r="D25" s="63">
        <f>'CENSO 2020'!C27</f>
        <v>425924</v>
      </c>
      <c r="E25" s="64">
        <f t="shared" si="2"/>
        <v>34.475044032324909</v>
      </c>
      <c r="F25" s="65">
        <f t="shared" si="3"/>
        <v>20.685026419394944</v>
      </c>
      <c r="G25" s="66">
        <f>Datos!$I$12*FGP!F25/100</f>
        <v>146714174.66571027</v>
      </c>
      <c r="H25" s="67">
        <f>'Predial y Agua'!D26</f>
        <v>266520773</v>
      </c>
      <c r="I25" s="68">
        <f>'Predial y Agua'!G26</f>
        <v>271389232.78000003</v>
      </c>
      <c r="J25" s="64">
        <f t="shared" si="4"/>
        <v>1.0182667179192071</v>
      </c>
      <c r="K25" s="64">
        <f t="shared" si="5"/>
        <v>4.2625118041278611</v>
      </c>
      <c r="L25" s="78">
        <f t="shared" si="6"/>
        <v>1.2787535412383584</v>
      </c>
      <c r="M25" s="69">
        <f>Datos!$I$12*FGP!L25/100</f>
        <v>9069907.2169291358</v>
      </c>
      <c r="N25" s="79">
        <f t="shared" si="7"/>
        <v>155784081.88263941</v>
      </c>
      <c r="O25" s="78">
        <f t="shared" si="8"/>
        <v>21.963779960633303</v>
      </c>
      <c r="P25" s="78">
        <f t="shared" si="9"/>
        <v>4.5529503655215367E-2</v>
      </c>
      <c r="Q25" s="78">
        <f t="shared" si="10"/>
        <v>0.70124775348138346</v>
      </c>
      <c r="R25" s="78">
        <f t="shared" si="11"/>
        <v>7.0124775348138352E-2</v>
      </c>
      <c r="S25" s="71">
        <f>Datos!$I$12*FGP!R25/100</f>
        <v>497379.03787127027</v>
      </c>
      <c r="T25" s="72">
        <f t="shared" si="12"/>
        <v>537127387.19951069</v>
      </c>
      <c r="U25" s="73">
        <f t="shared" si="13"/>
        <v>22.033904735981441</v>
      </c>
      <c r="V25" s="74"/>
      <c r="W25" s="75">
        <v>0.78971025252641724</v>
      </c>
      <c r="X25" s="75">
        <f t="shared" si="0"/>
        <v>0.22855646539278984</v>
      </c>
      <c r="Y25" s="76"/>
      <c r="Z25" s="76"/>
      <c r="AA25" s="74"/>
      <c r="AB25" s="74"/>
    </row>
    <row r="26" spans="1:28" s="5" customFormat="1" ht="16.5" customHeight="1" x14ac:dyDescent="0.25">
      <c r="A26" s="60" t="s">
        <v>63</v>
      </c>
      <c r="B26" s="77">
        <v>3.79</v>
      </c>
      <c r="C26" s="62">
        <f t="shared" si="1"/>
        <v>37010411.81019</v>
      </c>
      <c r="D26" s="63">
        <f>'CENSO 2020'!C28</f>
        <v>30064</v>
      </c>
      <c r="E26" s="64">
        <f t="shared" si="2"/>
        <v>2.4334334852880231</v>
      </c>
      <c r="F26" s="65">
        <f t="shared" si="3"/>
        <v>1.4600600911728139</v>
      </c>
      <c r="G26" s="66">
        <f>Datos!$I$12*FGP!F26/100</f>
        <v>10355873.224213505</v>
      </c>
      <c r="H26" s="67">
        <f>'Predial y Agua'!D27</f>
        <v>3902448</v>
      </c>
      <c r="I26" s="68">
        <f>'Predial y Agua'!G27</f>
        <v>2577638.86</v>
      </c>
      <c r="J26" s="64">
        <f t="shared" si="4"/>
        <v>0.66051843868259097</v>
      </c>
      <c r="K26" s="64">
        <f t="shared" si="5"/>
        <v>2.7649608812531552</v>
      </c>
      <c r="L26" s="78">
        <f t="shared" si="6"/>
        <v>0.82948826437594658</v>
      </c>
      <c r="M26" s="69">
        <f>Datos!$I$12*FGP!L26/100</f>
        <v>5883371.0740974369</v>
      </c>
      <c r="N26" s="79">
        <f t="shared" si="7"/>
        <v>16239244.298310943</v>
      </c>
      <c r="O26" s="78">
        <f t="shared" si="8"/>
        <v>2.2895483555487606</v>
      </c>
      <c r="P26" s="78">
        <f t="shared" si="9"/>
        <v>0.43676736399844207</v>
      </c>
      <c r="Q26" s="78">
        <f t="shared" si="10"/>
        <v>6.7271133706463955</v>
      </c>
      <c r="R26" s="78">
        <f t="shared" si="11"/>
        <v>0.67271133706463959</v>
      </c>
      <c r="S26" s="71">
        <f>Datos!$I$12*FGP!R26/100</f>
        <v>4771388.0854976438</v>
      </c>
      <c r="T26" s="72">
        <f t="shared" si="12"/>
        <v>58021044.19399859</v>
      </c>
      <c r="U26" s="73">
        <f t="shared" si="13"/>
        <v>2.9622596926133999</v>
      </c>
      <c r="V26" s="74"/>
      <c r="W26" s="75">
        <v>1.0987404654646735</v>
      </c>
      <c r="X26" s="75">
        <f t="shared" si="0"/>
        <v>-0.43822202678208255</v>
      </c>
      <c r="Y26" s="76"/>
      <c r="Z26" s="76"/>
      <c r="AA26" s="74"/>
      <c r="AB26" s="74"/>
    </row>
    <row r="27" spans="1:28" s="5" customFormat="1" ht="16.5" customHeight="1" thickBot="1" x14ac:dyDescent="0.3">
      <c r="A27" s="80" t="s">
        <v>64</v>
      </c>
      <c r="B27" s="314">
        <v>3.1</v>
      </c>
      <c r="C27" s="315">
        <f t="shared" si="1"/>
        <v>30272368.499100003</v>
      </c>
      <c r="D27" s="316">
        <f>'CENSO 2020'!C29</f>
        <v>65229</v>
      </c>
      <c r="E27" s="317">
        <f t="shared" si="2"/>
        <v>5.2797509583506006</v>
      </c>
      <c r="F27" s="318">
        <f t="shared" si="3"/>
        <v>3.1678505750103603</v>
      </c>
      <c r="G27" s="319">
        <f>Datos!$I$12*FGP!F27/100</f>
        <v>22468841.622612521</v>
      </c>
      <c r="H27" s="320">
        <f>'Predial y Agua'!D28</f>
        <v>40126137</v>
      </c>
      <c r="I27" s="321">
        <f>'Predial y Agua'!G28</f>
        <v>43314555.549999997</v>
      </c>
      <c r="J27" s="317">
        <f t="shared" si="4"/>
        <v>1.0794598929371146</v>
      </c>
      <c r="K27" s="317">
        <f t="shared" si="5"/>
        <v>4.5186692786438734</v>
      </c>
      <c r="L27" s="317">
        <f t="shared" si="6"/>
        <v>1.3556007835931621</v>
      </c>
      <c r="M27" s="322">
        <f>Datos!$I$12*FGP!L27/100</f>
        <v>9614967.1800553817</v>
      </c>
      <c r="N27" s="323">
        <f t="shared" si="7"/>
        <v>32083808.802667901</v>
      </c>
      <c r="O27" s="317">
        <f t="shared" si="8"/>
        <v>4.5234513586035225</v>
      </c>
      <c r="P27" s="317">
        <f t="shared" si="9"/>
        <v>0.22107013444458026</v>
      </c>
      <c r="Q27" s="317">
        <f t="shared" si="10"/>
        <v>3.4049335638503355</v>
      </c>
      <c r="R27" s="317">
        <f t="shared" si="11"/>
        <v>0.34049335638503359</v>
      </c>
      <c r="S27" s="324">
        <f>Datos!$I$12*FGP!R27/100</f>
        <v>2415041.7189870328</v>
      </c>
      <c r="T27" s="325">
        <f t="shared" si="12"/>
        <v>64771219.020754933</v>
      </c>
      <c r="U27" s="73">
        <f t="shared" si="13"/>
        <v>4.8639447149885555</v>
      </c>
      <c r="V27" s="74"/>
      <c r="W27" s="75">
        <v>1.0459205946760619</v>
      </c>
      <c r="X27" s="75">
        <f t="shared" si="0"/>
        <v>3.353929826105273E-2</v>
      </c>
      <c r="Y27" s="76"/>
      <c r="Z27" s="76"/>
      <c r="AA27" s="74"/>
      <c r="AB27" s="74"/>
    </row>
    <row r="28" spans="1:28" s="5" customFormat="1" ht="16.5" customHeight="1" thickBot="1" x14ac:dyDescent="0.3">
      <c r="A28" s="81" t="s">
        <v>65</v>
      </c>
      <c r="B28" s="472">
        <f>SUM(B8:B27)</f>
        <v>100</v>
      </c>
      <c r="C28" s="473">
        <f>Datos!I10*22.5%</f>
        <v>976528016.10000002</v>
      </c>
      <c r="D28" s="226">
        <f>SUM(D8:D27)</f>
        <v>1235456</v>
      </c>
      <c r="E28" s="227">
        <f>SUM(E8:E27)</f>
        <v>100</v>
      </c>
      <c r="F28" s="228">
        <f t="shared" ref="F28:M28" si="14">SUM(F8:F27)</f>
        <v>59.999999999999993</v>
      </c>
      <c r="G28" s="229">
        <f>SUM(G8:G27)</f>
        <v>425566315.53000003</v>
      </c>
      <c r="H28" s="230">
        <f t="shared" si="14"/>
        <v>718357273</v>
      </c>
      <c r="I28" s="231">
        <f t="shared" si="14"/>
        <v>800846284.94999993</v>
      </c>
      <c r="J28" s="227">
        <f t="shared" si="14"/>
        <v>23.888889103676075</v>
      </c>
      <c r="K28" s="232">
        <f t="shared" si="14"/>
        <v>99.999999999999972</v>
      </c>
      <c r="L28" s="228">
        <f t="shared" si="14"/>
        <v>29.999999999999993</v>
      </c>
      <c r="M28" s="233">
        <f t="shared" si="14"/>
        <v>212783157.76499996</v>
      </c>
      <c r="N28" s="234">
        <f t="shared" si="7"/>
        <v>638349473.29499996</v>
      </c>
      <c r="O28" s="232">
        <f t="shared" ref="O28:T28" si="15">SUM(O8:O27)</f>
        <v>90</v>
      </c>
      <c r="P28" s="232">
        <f t="shared" si="15"/>
        <v>6.4926416418707387</v>
      </c>
      <c r="Q28" s="232">
        <f t="shared" si="15"/>
        <v>100.00000000000003</v>
      </c>
      <c r="R28" s="232">
        <f t="shared" si="15"/>
        <v>10.000000000000002</v>
      </c>
      <c r="S28" s="233">
        <f>Datos!I17</f>
        <v>70927719.25500001</v>
      </c>
      <c r="T28" s="326">
        <f t="shared" si="15"/>
        <v>1685805208.6500001</v>
      </c>
      <c r="U28" s="73">
        <f t="shared" si="13"/>
        <v>99.999999999999986</v>
      </c>
      <c r="V28" s="74"/>
      <c r="W28" s="75">
        <f>SUM(W8:W27)</f>
        <v>24.538698253136822</v>
      </c>
      <c r="X28" s="75"/>
      <c r="Y28" s="76"/>
      <c r="Z28" s="76"/>
      <c r="AA28" s="74"/>
      <c r="AB28" s="74"/>
    </row>
    <row r="29" spans="1:28" s="5" customFormat="1" ht="16.5" customHeight="1" x14ac:dyDescent="0.25">
      <c r="A29" s="1046" t="s">
        <v>295</v>
      </c>
      <c r="B29" s="1046"/>
      <c r="C29" s="1046"/>
      <c r="D29" s="1046"/>
      <c r="E29" s="1046"/>
      <c r="F29" s="1046"/>
      <c r="G29" s="1046"/>
      <c r="H29" s="1046"/>
      <c r="I29" s="1046"/>
      <c r="J29" s="1046"/>
      <c r="K29" s="1046"/>
      <c r="L29" s="1046"/>
      <c r="M29" s="1046"/>
      <c r="N29" s="1046"/>
      <c r="O29" s="1046"/>
      <c r="P29" s="1046"/>
      <c r="Q29" s="1046"/>
      <c r="R29" s="1046"/>
      <c r="S29" s="1046"/>
      <c r="T29" s="1046"/>
      <c r="U29" s="474"/>
      <c r="V29" s="74"/>
      <c r="W29" s="75"/>
      <c r="X29" s="75"/>
      <c r="Y29" s="76"/>
      <c r="Z29" s="76"/>
      <c r="AA29" s="74"/>
      <c r="AB29" s="74"/>
    </row>
    <row r="30" spans="1:28" s="5" customFormat="1" ht="21.75" customHeight="1" x14ac:dyDescent="0.25">
      <c r="A30" s="475"/>
      <c r="B30" s="485" t="s">
        <v>80</v>
      </c>
      <c r="C30" s="475"/>
      <c r="D30" s="475"/>
      <c r="E30" s="475"/>
      <c r="F30" s="475"/>
      <c r="G30" s="476"/>
      <c r="H30" s="477"/>
      <c r="I30" s="476"/>
      <c r="J30" s="478"/>
      <c r="K30" s="478"/>
      <c r="L30" s="478"/>
      <c r="M30" s="478"/>
      <c r="N30" s="478"/>
      <c r="O30" s="478"/>
      <c r="P30" s="478"/>
      <c r="Q30" s="478"/>
      <c r="R30" s="478"/>
      <c r="S30" s="478"/>
      <c r="T30" s="478"/>
      <c r="X30" s="75"/>
    </row>
    <row r="31" spans="1:28" s="5" customFormat="1" ht="27" customHeight="1" x14ac:dyDescent="0.25">
      <c r="A31" s="475"/>
      <c r="B31" s="1045" t="s">
        <v>297</v>
      </c>
      <c r="C31" s="1045"/>
      <c r="D31" s="1045"/>
      <c r="E31" s="1045"/>
      <c r="F31" s="1045"/>
      <c r="G31" s="1045"/>
      <c r="H31" s="1045"/>
      <c r="I31" s="1045"/>
      <c r="J31" s="1045"/>
      <c r="K31" s="1045"/>
      <c r="L31" s="1045"/>
      <c r="M31" s="1045"/>
      <c r="N31" s="1045"/>
      <c r="O31" s="1045"/>
      <c r="P31" s="1045"/>
      <c r="Q31" s="1045"/>
      <c r="R31" s="1045"/>
      <c r="S31" s="1045"/>
      <c r="T31" s="1045"/>
      <c r="X31" s="75"/>
    </row>
    <row r="32" spans="1:28" ht="15" customHeight="1" x14ac:dyDescent="0.25">
      <c r="A32" s="479"/>
      <c r="B32" s="1047" t="s">
        <v>372</v>
      </c>
      <c r="C32" s="1047"/>
      <c r="D32" s="1047"/>
      <c r="E32" s="1047"/>
      <c r="F32" s="1047"/>
      <c r="G32" s="1047"/>
      <c r="H32" s="1047"/>
      <c r="I32" s="1047"/>
      <c r="J32" s="1047"/>
      <c r="K32" s="1047"/>
      <c r="L32" s="1047"/>
      <c r="M32" s="1047"/>
      <c r="N32" s="1047"/>
      <c r="O32" s="1047"/>
      <c r="P32" s="1047"/>
      <c r="Q32" s="1047"/>
      <c r="R32" s="1047"/>
      <c r="S32" s="1047"/>
      <c r="T32" s="1047"/>
    </row>
    <row r="33" spans="1:20" x14ac:dyDescent="0.25">
      <c r="A33" s="479"/>
      <c r="B33" s="1047" t="s">
        <v>298</v>
      </c>
      <c r="C33" s="1047"/>
      <c r="D33" s="1047"/>
      <c r="E33" s="1047"/>
      <c r="F33" s="1047"/>
      <c r="G33" s="1047"/>
      <c r="H33" s="1047"/>
      <c r="I33" s="1047"/>
      <c r="J33" s="1047"/>
      <c r="K33" s="1047"/>
      <c r="L33" s="1047"/>
      <c r="M33" s="1047"/>
      <c r="N33" s="1047"/>
      <c r="O33" s="1047"/>
      <c r="P33" s="1047"/>
      <c r="Q33" s="1047"/>
      <c r="R33" s="1047"/>
      <c r="S33" s="1047"/>
      <c r="T33" s="1047"/>
    </row>
    <row r="34" spans="1:20" ht="15" customHeight="1" x14ac:dyDescent="0.25">
      <c r="A34" s="479"/>
      <c r="B34" s="1044"/>
      <c r="C34" s="1044"/>
      <c r="D34" s="1044"/>
      <c r="E34" s="1044"/>
      <c r="F34" s="1044"/>
      <c r="G34" s="1044"/>
      <c r="H34" s="1044"/>
      <c r="I34" s="1044"/>
      <c r="J34" s="1044"/>
      <c r="K34" s="1044"/>
      <c r="L34" s="1044"/>
      <c r="M34" s="1044"/>
      <c r="N34" s="1044"/>
      <c r="O34" s="1044"/>
      <c r="P34" s="1044"/>
      <c r="Q34" s="1044"/>
      <c r="R34" s="1044"/>
      <c r="S34" s="1044"/>
      <c r="T34" s="1044"/>
    </row>
    <row r="38" spans="1:20" x14ac:dyDescent="0.25">
      <c r="G38" s="311"/>
    </row>
    <row r="43" spans="1:20" x14ac:dyDescent="0.25">
      <c r="L43" s="59"/>
    </row>
    <row r="44" spans="1:20" x14ac:dyDescent="0.25">
      <c r="L44" s="59"/>
    </row>
    <row r="45" spans="1:20" x14ac:dyDescent="0.25">
      <c r="L45" s="59"/>
    </row>
    <row r="46" spans="1:20" x14ac:dyDescent="0.25">
      <c r="L46" s="59"/>
    </row>
    <row r="47" spans="1:20" x14ac:dyDescent="0.25">
      <c r="L47" s="59"/>
    </row>
    <row r="48" spans="1:20" x14ac:dyDescent="0.25">
      <c r="L48" s="59"/>
    </row>
    <row r="49" spans="12:12" x14ac:dyDescent="0.25">
      <c r="L49" s="59"/>
    </row>
    <row r="50" spans="12:12" x14ac:dyDescent="0.25">
      <c r="L50" s="59"/>
    </row>
    <row r="51" spans="12:12" x14ac:dyDescent="0.25">
      <c r="L51" s="59"/>
    </row>
    <row r="52" spans="12:12" x14ac:dyDescent="0.25">
      <c r="L52" s="59"/>
    </row>
    <row r="53" spans="12:12" x14ac:dyDescent="0.25">
      <c r="L53" s="59"/>
    </row>
    <row r="54" spans="12:12" x14ac:dyDescent="0.25">
      <c r="L54" s="59"/>
    </row>
    <row r="55" spans="12:12" x14ac:dyDescent="0.25">
      <c r="L55" s="59"/>
    </row>
    <row r="56" spans="12:12" x14ac:dyDescent="0.25">
      <c r="L56" s="59"/>
    </row>
    <row r="57" spans="12:12" x14ac:dyDescent="0.25">
      <c r="L57" s="59"/>
    </row>
    <row r="58" spans="12:12" x14ac:dyDescent="0.25">
      <c r="L58" s="59"/>
    </row>
    <row r="59" spans="12:12" x14ac:dyDescent="0.25">
      <c r="L59" s="59"/>
    </row>
    <row r="60" spans="12:12" x14ac:dyDescent="0.25">
      <c r="L60" s="59"/>
    </row>
    <row r="61" spans="12:12" x14ac:dyDescent="0.25">
      <c r="L61" s="59"/>
    </row>
    <row r="62" spans="12:12" x14ac:dyDescent="0.25">
      <c r="L62" s="59"/>
    </row>
    <row r="63" spans="12:12" x14ac:dyDescent="0.25">
      <c r="L63" s="59"/>
    </row>
  </sheetData>
  <mergeCells count="25">
    <mergeCell ref="B34:T34"/>
    <mergeCell ref="B31:T31"/>
    <mergeCell ref="A29:T29"/>
    <mergeCell ref="B32:T32"/>
    <mergeCell ref="B33:T33"/>
    <mergeCell ref="U3:U7"/>
    <mergeCell ref="E4:E5"/>
    <mergeCell ref="D3:G3"/>
    <mergeCell ref="H3:M3"/>
    <mergeCell ref="N3:S3"/>
    <mergeCell ref="R4:R6"/>
    <mergeCell ref="B3:B6"/>
    <mergeCell ref="A1:T1"/>
    <mergeCell ref="A3:A7"/>
    <mergeCell ref="H4:J5"/>
    <mergeCell ref="K4:K6"/>
    <mergeCell ref="N4:N6"/>
    <mergeCell ref="M4:M6"/>
    <mergeCell ref="O4:O6"/>
    <mergeCell ref="P4:P6"/>
    <mergeCell ref="Q4:Q6"/>
    <mergeCell ref="S4:S6"/>
    <mergeCell ref="C3:C6"/>
    <mergeCell ref="G4:G6"/>
    <mergeCell ref="T3:T6"/>
  </mergeCells>
  <pageMargins left="0.70866141732283472" right="0.21" top="0.74803149606299213" bottom="0.74803149606299213" header="0.31496062992125984" footer="0.31496062992125984"/>
  <pageSetup paperSize="5" scale="52"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7030A0"/>
  </sheetPr>
  <dimension ref="A1:O34"/>
  <sheetViews>
    <sheetView workbookViewId="0">
      <selection activeCell="O33" activeCellId="1" sqref="O27 O33"/>
    </sheetView>
  </sheetViews>
  <sheetFormatPr baseColWidth="10" defaultRowHeight="12.75" x14ac:dyDescent="0.2"/>
  <cols>
    <col min="1" max="1" width="15.42578125" style="597" customWidth="1"/>
    <col min="2" max="2" width="9.28515625" style="597" customWidth="1"/>
    <col min="3" max="3" width="12.7109375" style="597" customWidth="1"/>
    <col min="4" max="5" width="11.7109375" style="597" bestFit="1" customWidth="1"/>
    <col min="6" max="6" width="12.7109375" style="597" bestFit="1" customWidth="1"/>
    <col min="7" max="8" width="11.7109375" style="597" bestFit="1" customWidth="1"/>
    <col min="9" max="9" width="11.85546875" style="597" bestFit="1" customWidth="1"/>
    <col min="10" max="11" width="11.7109375" style="597" bestFit="1" customWidth="1"/>
    <col min="12" max="12" width="11.85546875" style="597" bestFit="1" customWidth="1"/>
    <col min="13" max="14" width="11.7109375" style="597" bestFit="1" customWidth="1"/>
    <col min="15" max="15" width="13.140625"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350</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13">
        <v>3.6499999999999998E-2</v>
      </c>
      <c r="C7" s="629">
        <v>154257.12253206508</v>
      </c>
      <c r="D7" s="630">
        <v>120162.95703191035</v>
      </c>
      <c r="E7" s="629">
        <v>120162.95703191035</v>
      </c>
      <c r="F7" s="630">
        <v>181543.94365766429</v>
      </c>
      <c r="G7" s="629">
        <v>120162.95703191035</v>
      </c>
      <c r="H7" s="629">
        <v>120162.95703191035</v>
      </c>
      <c r="I7" s="631">
        <v>152643.60360410286</v>
      </c>
      <c r="J7" s="630">
        <v>120162.95703191037</v>
      </c>
      <c r="K7" s="629">
        <v>120162.95703191037</v>
      </c>
      <c r="L7" s="630">
        <v>159154.33645088488</v>
      </c>
      <c r="M7" s="629">
        <v>120162.9570319104</v>
      </c>
      <c r="N7" s="629">
        <v>120162.9570319104</v>
      </c>
      <c r="O7" s="632">
        <f t="shared" ref="O7:O27" si="0">SUM(C7:N7)</f>
        <v>1608902.6624999996</v>
      </c>
    </row>
    <row r="8" spans="1:15" x14ac:dyDescent="0.2">
      <c r="A8" s="602" t="s">
        <v>147</v>
      </c>
      <c r="B8" s="614">
        <v>1.49E-2</v>
      </c>
      <c r="C8" s="629">
        <v>62970.715773363561</v>
      </c>
      <c r="D8" s="630">
        <v>49052.82355549217</v>
      </c>
      <c r="E8" s="629">
        <v>49052.82355549217</v>
      </c>
      <c r="F8" s="630">
        <v>74109.719465731454</v>
      </c>
      <c r="G8" s="629">
        <v>49052.82355549217</v>
      </c>
      <c r="H8" s="629">
        <v>49052.82355549217</v>
      </c>
      <c r="I8" s="629">
        <v>62312.046402770757</v>
      </c>
      <c r="J8" s="630">
        <v>49052.823555492178</v>
      </c>
      <c r="K8" s="629">
        <v>49052.823555492178</v>
      </c>
      <c r="L8" s="630">
        <v>64969.852414196837</v>
      </c>
      <c r="M8" s="629">
        <v>49052.823555492192</v>
      </c>
      <c r="N8" s="629">
        <v>49052.823555492192</v>
      </c>
      <c r="O8" s="632">
        <f t="shared" si="0"/>
        <v>656784.92249999999</v>
      </c>
    </row>
    <row r="9" spans="1:15" x14ac:dyDescent="0.2">
      <c r="A9" s="602" t="s">
        <v>148</v>
      </c>
      <c r="B9" s="614">
        <v>1.09E-2</v>
      </c>
      <c r="C9" s="629">
        <v>46065.825632863278</v>
      </c>
      <c r="D9" s="630">
        <v>35884.280319118436</v>
      </c>
      <c r="E9" s="629">
        <v>35884.280319118436</v>
      </c>
      <c r="F9" s="630">
        <v>54214.492763521666</v>
      </c>
      <c r="G9" s="629">
        <v>35884.280319118436</v>
      </c>
      <c r="H9" s="629">
        <v>35884.280319118436</v>
      </c>
      <c r="I9" s="629">
        <v>45583.980254375922</v>
      </c>
      <c r="J9" s="630">
        <v>35884.280319118443</v>
      </c>
      <c r="K9" s="629">
        <v>35884.280319118443</v>
      </c>
      <c r="L9" s="630">
        <v>47528.281296291651</v>
      </c>
      <c r="M9" s="629">
        <v>35884.28031911845</v>
      </c>
      <c r="N9" s="629">
        <v>35884.28031911845</v>
      </c>
      <c r="O9" s="632">
        <f t="shared" si="0"/>
        <v>480466.82250000013</v>
      </c>
    </row>
    <row r="10" spans="1:15" x14ac:dyDescent="0.2">
      <c r="A10" s="602" t="s">
        <v>283</v>
      </c>
      <c r="B10" s="614">
        <v>8.8200000000000001E-2</v>
      </c>
      <c r="C10" s="629">
        <v>372752.82759803126</v>
      </c>
      <c r="D10" s="630">
        <v>290366.37836204091</v>
      </c>
      <c r="E10" s="629">
        <v>290366.37836204091</v>
      </c>
      <c r="F10" s="630">
        <v>438689.74878372578</v>
      </c>
      <c r="G10" s="629">
        <v>290366.37836204091</v>
      </c>
      <c r="H10" s="629">
        <v>290366.37836204091</v>
      </c>
      <c r="I10" s="629">
        <v>368853.85857210611</v>
      </c>
      <c r="J10" s="630">
        <v>290366.37836204097</v>
      </c>
      <c r="K10" s="629">
        <v>290366.37836204097</v>
      </c>
      <c r="L10" s="630">
        <v>384586.6431498095</v>
      </c>
      <c r="M10" s="629">
        <v>290366.37836204102</v>
      </c>
      <c r="N10" s="629">
        <v>290366.37836204102</v>
      </c>
      <c r="O10" s="632">
        <f t="shared" si="0"/>
        <v>3887814.105</v>
      </c>
    </row>
    <row r="11" spans="1:15" x14ac:dyDescent="0.2">
      <c r="A11" s="602" t="s">
        <v>150</v>
      </c>
      <c r="B11" s="614">
        <v>6.6299999999999998E-2</v>
      </c>
      <c r="C11" s="629">
        <v>280198.55407879222</v>
      </c>
      <c r="D11" s="630">
        <v>218268.60414289468</v>
      </c>
      <c r="E11" s="629">
        <v>218268.60414289468</v>
      </c>
      <c r="F11" s="630">
        <v>329763.38258912717</v>
      </c>
      <c r="G11" s="629">
        <v>218268.60414289468</v>
      </c>
      <c r="H11" s="629">
        <v>218268.60414289468</v>
      </c>
      <c r="I11" s="629">
        <v>277267.69640964438</v>
      </c>
      <c r="J11" s="630">
        <v>218268.60414289474</v>
      </c>
      <c r="K11" s="629">
        <v>218268.60414289474</v>
      </c>
      <c r="L11" s="630">
        <v>289094.04127927852</v>
      </c>
      <c r="M11" s="629">
        <v>218268.60414289479</v>
      </c>
      <c r="N11" s="629">
        <v>218268.60414289479</v>
      </c>
      <c r="O11" s="632">
        <f t="shared" si="0"/>
        <v>2922472.5075000003</v>
      </c>
    </row>
    <row r="12" spans="1:15" x14ac:dyDescent="0.2">
      <c r="A12" s="602" t="s">
        <v>284</v>
      </c>
      <c r="B12" s="614">
        <v>3.2199999999999999E-2</v>
      </c>
      <c r="C12" s="629">
        <v>136084.36563102729</v>
      </c>
      <c r="D12" s="630">
        <v>106006.77305280858</v>
      </c>
      <c r="E12" s="629">
        <v>106006.77305280858</v>
      </c>
      <c r="F12" s="630">
        <v>160156.57495278877</v>
      </c>
      <c r="G12" s="629">
        <v>106006.77305280858</v>
      </c>
      <c r="H12" s="629">
        <v>106006.77305280858</v>
      </c>
      <c r="I12" s="629">
        <v>134660.93249457842</v>
      </c>
      <c r="J12" s="630">
        <v>106006.7730528086</v>
      </c>
      <c r="K12" s="629">
        <v>106006.7730528086</v>
      </c>
      <c r="L12" s="630">
        <v>140404.6474991368</v>
      </c>
      <c r="M12" s="629">
        <v>106006.77305280862</v>
      </c>
      <c r="N12" s="629">
        <v>106006.77305280862</v>
      </c>
      <c r="O12" s="632">
        <f t="shared" si="0"/>
        <v>1419360.7050000001</v>
      </c>
    </row>
    <row r="13" spans="1:15" x14ac:dyDescent="0.2">
      <c r="A13" s="602" t="s">
        <v>152</v>
      </c>
      <c r="B13" s="614">
        <v>1.11E-2</v>
      </c>
      <c r="C13" s="629">
        <v>46911.070139888296</v>
      </c>
      <c r="D13" s="630">
        <v>36542.707480937126</v>
      </c>
      <c r="E13" s="629">
        <v>36542.707480937126</v>
      </c>
      <c r="F13" s="630">
        <v>55209.254098632155</v>
      </c>
      <c r="G13" s="629">
        <v>36542.707480937126</v>
      </c>
      <c r="H13" s="629">
        <v>36542.707480937126</v>
      </c>
      <c r="I13" s="629">
        <v>46420.383561795665</v>
      </c>
      <c r="J13" s="630">
        <v>36542.707480937126</v>
      </c>
      <c r="K13" s="629">
        <v>36542.707480937126</v>
      </c>
      <c r="L13" s="630">
        <v>48400.359852186913</v>
      </c>
      <c r="M13" s="629">
        <v>36542.707480937141</v>
      </c>
      <c r="N13" s="629">
        <v>36542.707480937141</v>
      </c>
      <c r="O13" s="632">
        <f t="shared" si="0"/>
        <v>489282.7275000001</v>
      </c>
    </row>
    <row r="14" spans="1:15" x14ac:dyDescent="0.2">
      <c r="A14" s="602" t="s">
        <v>153</v>
      </c>
      <c r="B14" s="614">
        <v>2.7099999999999999E-2</v>
      </c>
      <c r="C14" s="629">
        <v>114530.63070188943</v>
      </c>
      <c r="D14" s="630">
        <v>89216.880426432064</v>
      </c>
      <c r="E14" s="629">
        <v>89216.880426432064</v>
      </c>
      <c r="F14" s="630">
        <v>134790.16090747129</v>
      </c>
      <c r="G14" s="629">
        <v>89216.880426432064</v>
      </c>
      <c r="H14" s="629">
        <v>89216.880426432064</v>
      </c>
      <c r="I14" s="629">
        <v>113332.64815537501</v>
      </c>
      <c r="J14" s="630">
        <v>89216.880426432079</v>
      </c>
      <c r="K14" s="629">
        <v>89216.880426432079</v>
      </c>
      <c r="L14" s="630">
        <v>118166.64432380768</v>
      </c>
      <c r="M14" s="629">
        <v>89216.880426432108</v>
      </c>
      <c r="N14" s="629">
        <v>89216.880426432108</v>
      </c>
      <c r="O14" s="632">
        <f t="shared" si="0"/>
        <v>1194555.1274999999</v>
      </c>
    </row>
    <row r="15" spans="1:15" x14ac:dyDescent="0.2">
      <c r="A15" s="602" t="s">
        <v>154</v>
      </c>
      <c r="B15" s="614">
        <v>1.6899999999999998E-2</v>
      </c>
      <c r="C15" s="629">
        <v>71423.160843613703</v>
      </c>
      <c r="D15" s="630">
        <v>55637.095173679038</v>
      </c>
      <c r="E15" s="629">
        <v>55637.095173679038</v>
      </c>
      <c r="F15" s="630">
        <v>84057.332816836337</v>
      </c>
      <c r="G15" s="629">
        <v>55637.095173679038</v>
      </c>
      <c r="H15" s="629">
        <v>55637.095173679038</v>
      </c>
      <c r="I15" s="629">
        <v>70676.079476968167</v>
      </c>
      <c r="J15" s="630">
        <v>55637.095173679045</v>
      </c>
      <c r="K15" s="629">
        <v>55637.095173679045</v>
      </c>
      <c r="L15" s="630">
        <v>73690.637973149423</v>
      </c>
      <c r="M15" s="629">
        <v>55637.095173679059</v>
      </c>
      <c r="N15" s="629">
        <v>55637.095173679059</v>
      </c>
      <c r="O15" s="632">
        <f t="shared" si="0"/>
        <v>744943.97250000003</v>
      </c>
    </row>
    <row r="16" spans="1:15" x14ac:dyDescent="0.2">
      <c r="A16" s="602" t="s">
        <v>155</v>
      </c>
      <c r="B16" s="614">
        <v>1.2699999999999999E-2</v>
      </c>
      <c r="C16" s="629">
        <v>53673.026196088402</v>
      </c>
      <c r="D16" s="630">
        <v>41810.124775486613</v>
      </c>
      <c r="E16" s="629">
        <v>41810.124775486613</v>
      </c>
      <c r="F16" s="630">
        <v>63167.344779516068</v>
      </c>
      <c r="G16" s="629">
        <v>41810.124775486613</v>
      </c>
      <c r="H16" s="629">
        <v>41810.124775486613</v>
      </c>
      <c r="I16" s="629">
        <v>53111.610021153596</v>
      </c>
      <c r="J16" s="630">
        <v>41810.12477548662</v>
      </c>
      <c r="K16" s="629">
        <v>41810.12477548662</v>
      </c>
      <c r="L16" s="630">
        <v>55376.988299348981</v>
      </c>
      <c r="M16" s="629">
        <v>41810.124775486634</v>
      </c>
      <c r="N16" s="629">
        <v>41810.124775486634</v>
      </c>
      <c r="O16" s="632">
        <f t="shared" si="0"/>
        <v>559809.96750000003</v>
      </c>
    </row>
    <row r="17" spans="1:15" x14ac:dyDescent="0.2">
      <c r="A17" s="602" t="s">
        <v>156</v>
      </c>
      <c r="B17" s="614">
        <v>3.39E-2</v>
      </c>
      <c r="C17" s="629">
        <v>143268.9439407399</v>
      </c>
      <c r="D17" s="630">
        <v>111603.40392826742</v>
      </c>
      <c r="E17" s="629">
        <v>111603.40392826742</v>
      </c>
      <c r="F17" s="630">
        <v>168612.04630122794</v>
      </c>
      <c r="G17" s="629">
        <v>111603.40392826742</v>
      </c>
      <c r="H17" s="629">
        <v>111603.40392826742</v>
      </c>
      <c r="I17" s="629">
        <v>141770.36060764623</v>
      </c>
      <c r="J17" s="630">
        <v>111603.40392826743</v>
      </c>
      <c r="K17" s="629">
        <v>111603.40392826743</v>
      </c>
      <c r="L17" s="630">
        <v>147817.3152242465</v>
      </c>
      <c r="M17" s="629">
        <v>111603.40392826746</v>
      </c>
      <c r="N17" s="629">
        <v>111603.40392826746</v>
      </c>
      <c r="O17" s="632">
        <f t="shared" si="0"/>
        <v>1494295.8975000002</v>
      </c>
    </row>
    <row r="18" spans="1:15" x14ac:dyDescent="0.2">
      <c r="A18" s="602" t="s">
        <v>157</v>
      </c>
      <c r="B18" s="614">
        <v>2.2100000000000002E-2</v>
      </c>
      <c r="C18" s="629">
        <v>93399.518026264079</v>
      </c>
      <c r="D18" s="630">
        <v>72756.201380964907</v>
      </c>
      <c r="E18" s="629">
        <v>72756.201380964907</v>
      </c>
      <c r="F18" s="630">
        <v>109921.12752970908</v>
      </c>
      <c r="G18" s="629">
        <v>72756.201380964907</v>
      </c>
      <c r="H18" s="629">
        <v>72756.201380964907</v>
      </c>
      <c r="I18" s="629">
        <v>92422.565469881461</v>
      </c>
      <c r="J18" s="630">
        <v>72756.201380964922</v>
      </c>
      <c r="K18" s="629">
        <v>72756.201380964922</v>
      </c>
      <c r="L18" s="630">
        <v>96364.680426426188</v>
      </c>
      <c r="M18" s="629">
        <v>72756.201380964936</v>
      </c>
      <c r="N18" s="629">
        <v>72756.201380964936</v>
      </c>
      <c r="O18" s="632">
        <f t="shared" si="0"/>
        <v>974157.50250000018</v>
      </c>
    </row>
    <row r="19" spans="1:15" x14ac:dyDescent="0.2">
      <c r="A19" s="602" t="s">
        <v>158</v>
      </c>
      <c r="B19" s="614">
        <v>3.95E-2</v>
      </c>
      <c r="C19" s="629">
        <v>166935.79013744032</v>
      </c>
      <c r="D19" s="630">
        <v>130039.36445919066</v>
      </c>
      <c r="E19" s="629">
        <v>130039.36445919066</v>
      </c>
      <c r="F19" s="630">
        <v>196465.36368432164</v>
      </c>
      <c r="G19" s="629">
        <v>130039.36445919066</v>
      </c>
      <c r="H19" s="629">
        <v>130039.36445919066</v>
      </c>
      <c r="I19" s="629">
        <v>165189.65321539898</v>
      </c>
      <c r="J19" s="630">
        <v>130039.36445919068</v>
      </c>
      <c r="K19" s="629">
        <v>130039.36445919068</v>
      </c>
      <c r="L19" s="630">
        <v>172235.51478931378</v>
      </c>
      <c r="M19" s="629">
        <v>130039.36445919071</v>
      </c>
      <c r="N19" s="629">
        <v>130039.36445919071</v>
      </c>
      <c r="O19" s="632">
        <f t="shared" si="0"/>
        <v>1741141.2375000003</v>
      </c>
    </row>
    <row r="20" spans="1:15" x14ac:dyDescent="0.2">
      <c r="A20" s="602" t="s">
        <v>285</v>
      </c>
      <c r="B20" s="614">
        <v>7.4999999999999997E-3</v>
      </c>
      <c r="C20" s="629">
        <v>31696.669013438033</v>
      </c>
      <c r="D20" s="630">
        <v>24691.018568200758</v>
      </c>
      <c r="E20" s="629">
        <v>24691.018568200758</v>
      </c>
      <c r="F20" s="630">
        <v>37303.550066643344</v>
      </c>
      <c r="G20" s="629">
        <v>24691.018568200758</v>
      </c>
      <c r="H20" s="629">
        <v>24691.018568200758</v>
      </c>
      <c r="I20" s="629">
        <v>31365.124028240312</v>
      </c>
      <c r="J20" s="630">
        <v>24691.018568200761</v>
      </c>
      <c r="K20" s="629">
        <v>24691.018568200761</v>
      </c>
      <c r="L20" s="630">
        <v>32702.945846072234</v>
      </c>
      <c r="M20" s="629">
        <v>24691.018568200769</v>
      </c>
      <c r="N20" s="629">
        <v>24691.018568200769</v>
      </c>
      <c r="O20" s="632">
        <f t="shared" si="0"/>
        <v>330596.4375</v>
      </c>
    </row>
    <row r="21" spans="1:15" x14ac:dyDescent="0.2">
      <c r="A21" s="602" t="s">
        <v>286</v>
      </c>
      <c r="B21" s="614">
        <v>2.2800000000000001E-2</v>
      </c>
      <c r="C21" s="629">
        <v>96357.873800851623</v>
      </c>
      <c r="D21" s="630">
        <v>75060.696447330309</v>
      </c>
      <c r="E21" s="629">
        <v>75060.696447330309</v>
      </c>
      <c r="F21" s="630">
        <v>113402.79220259578</v>
      </c>
      <c r="G21" s="629">
        <v>75060.696447330309</v>
      </c>
      <c r="H21" s="629">
        <v>75060.696447330309</v>
      </c>
      <c r="I21" s="629">
        <v>95349.977045850552</v>
      </c>
      <c r="J21" s="630">
        <v>75060.696447330323</v>
      </c>
      <c r="K21" s="629">
        <v>75060.696447330323</v>
      </c>
      <c r="L21" s="630">
        <v>99416.955372059601</v>
      </c>
      <c r="M21" s="629">
        <v>75060.696447330338</v>
      </c>
      <c r="N21" s="629">
        <v>75060.696447330338</v>
      </c>
      <c r="O21" s="632">
        <f t="shared" si="0"/>
        <v>1005013.1699999999</v>
      </c>
    </row>
    <row r="22" spans="1:15" x14ac:dyDescent="0.2">
      <c r="A22" s="602" t="s">
        <v>287</v>
      </c>
      <c r="B22" s="614">
        <v>8.8800000000000004E-2</v>
      </c>
      <c r="C22" s="629">
        <v>375288.56111910637</v>
      </c>
      <c r="D22" s="630">
        <v>292341.65984749701</v>
      </c>
      <c r="E22" s="629">
        <v>292341.65984749701</v>
      </c>
      <c r="F22" s="630">
        <v>441674.03278905724</v>
      </c>
      <c r="G22" s="629">
        <v>292341.65984749701</v>
      </c>
      <c r="H22" s="629">
        <v>292341.65984749701</v>
      </c>
      <c r="I22" s="629">
        <v>371363.06849436532</v>
      </c>
      <c r="J22" s="630">
        <v>292341.65984749701</v>
      </c>
      <c r="K22" s="629">
        <v>292341.65984749701</v>
      </c>
      <c r="L22" s="630">
        <v>387202.87881749531</v>
      </c>
      <c r="M22" s="629">
        <v>292341.65984749713</v>
      </c>
      <c r="N22" s="629">
        <v>292341.65984749713</v>
      </c>
      <c r="O22" s="632">
        <f t="shared" si="0"/>
        <v>3914261.8200000008</v>
      </c>
    </row>
    <row r="23" spans="1:15" x14ac:dyDescent="0.2">
      <c r="A23" s="602" t="s">
        <v>162</v>
      </c>
      <c r="B23" s="614">
        <v>3.9199999999999999E-2</v>
      </c>
      <c r="C23" s="629">
        <v>165667.92337690279</v>
      </c>
      <c r="D23" s="630">
        <v>129051.72371646263</v>
      </c>
      <c r="E23" s="629">
        <v>129051.72371646263</v>
      </c>
      <c r="F23" s="630">
        <v>194973.22168165588</v>
      </c>
      <c r="G23" s="629">
        <v>129051.72371646263</v>
      </c>
      <c r="H23" s="629">
        <v>129051.72371646263</v>
      </c>
      <c r="I23" s="629">
        <v>163935.04825426938</v>
      </c>
      <c r="J23" s="630">
        <v>129051.72371646264</v>
      </c>
      <c r="K23" s="629">
        <v>129051.72371646264</v>
      </c>
      <c r="L23" s="630">
        <v>170927.39695547087</v>
      </c>
      <c r="M23" s="629">
        <v>129051.72371646267</v>
      </c>
      <c r="N23" s="629">
        <v>129051.72371646267</v>
      </c>
      <c r="O23" s="632">
        <f t="shared" si="0"/>
        <v>1727917.3800000001</v>
      </c>
    </row>
    <row r="24" spans="1:15" x14ac:dyDescent="0.2">
      <c r="A24" s="602" t="s">
        <v>163</v>
      </c>
      <c r="B24" s="614">
        <v>0.35420000000000001</v>
      </c>
      <c r="C24" s="629">
        <v>1496928.0219413002</v>
      </c>
      <c r="D24" s="630">
        <v>1166074.5035808946</v>
      </c>
      <c r="E24" s="629">
        <v>1166074.5035808946</v>
      </c>
      <c r="F24" s="630">
        <v>1761722.3244806766</v>
      </c>
      <c r="G24" s="629">
        <v>1166074.5035808946</v>
      </c>
      <c r="H24" s="629">
        <v>1166074.5035808946</v>
      </c>
      <c r="I24" s="629">
        <v>1481270.2574403626</v>
      </c>
      <c r="J24" s="630">
        <v>1166074.5035808946</v>
      </c>
      <c r="K24" s="629">
        <v>1166074.5035808946</v>
      </c>
      <c r="L24" s="630">
        <v>1544451.1224905048</v>
      </c>
      <c r="M24" s="629">
        <v>1166074.503580895</v>
      </c>
      <c r="N24" s="629">
        <v>1166074.503580895</v>
      </c>
      <c r="O24" s="632">
        <f t="shared" si="0"/>
        <v>15612967.754999999</v>
      </c>
    </row>
    <row r="25" spans="1:15" x14ac:dyDescent="0.2">
      <c r="A25" s="602" t="s">
        <v>164</v>
      </c>
      <c r="B25" s="614">
        <v>0.03</v>
      </c>
      <c r="C25" s="629">
        <v>126786.67605375213</v>
      </c>
      <c r="D25" s="630">
        <v>98764.074272803031</v>
      </c>
      <c r="E25" s="629">
        <v>98764.074272803031</v>
      </c>
      <c r="F25" s="630">
        <v>149214.20026657337</v>
      </c>
      <c r="G25" s="629">
        <v>98764.074272803031</v>
      </c>
      <c r="H25" s="629">
        <v>98764.074272803031</v>
      </c>
      <c r="I25" s="629">
        <v>125460.49611296125</v>
      </c>
      <c r="J25" s="630">
        <v>98764.074272803045</v>
      </c>
      <c r="K25" s="629">
        <v>98764.074272803045</v>
      </c>
      <c r="L25" s="630">
        <v>130811.78338428894</v>
      </c>
      <c r="M25" s="629">
        <v>98764.074272803075</v>
      </c>
      <c r="N25" s="629">
        <v>98764.074272803075</v>
      </c>
      <c r="O25" s="632">
        <f t="shared" si="0"/>
        <v>1322385.75</v>
      </c>
    </row>
    <row r="26" spans="1:15" ht="13.5" thickBot="1" x14ac:dyDescent="0.25">
      <c r="A26" s="602" t="s">
        <v>165</v>
      </c>
      <c r="B26" s="615">
        <v>4.5199999999999997E-2</v>
      </c>
      <c r="C26" s="629">
        <v>191025.2585876532</v>
      </c>
      <c r="D26" s="630">
        <v>148804.53857102324</v>
      </c>
      <c r="E26" s="629">
        <v>148804.53857102324</v>
      </c>
      <c r="F26" s="630">
        <v>224816.06173497057</v>
      </c>
      <c r="G26" s="629">
        <v>148804.53857102324</v>
      </c>
      <c r="H26" s="629">
        <v>148804.53857102324</v>
      </c>
      <c r="I26" s="635">
        <v>189027.1474768616</v>
      </c>
      <c r="J26" s="630">
        <v>148804.53857102324</v>
      </c>
      <c r="K26" s="629">
        <v>148804.53857102324</v>
      </c>
      <c r="L26" s="630">
        <v>197089.75363232865</v>
      </c>
      <c r="M26" s="629">
        <v>148804.53857102329</v>
      </c>
      <c r="N26" s="629">
        <v>148804.53857102329</v>
      </c>
      <c r="O26" s="632">
        <f t="shared" si="0"/>
        <v>1992394.53</v>
      </c>
    </row>
    <row r="27" spans="1:15" ht="13.5" thickBot="1" x14ac:dyDescent="0.25">
      <c r="A27" s="607" t="s">
        <v>288</v>
      </c>
      <c r="B27" s="608">
        <f t="shared" ref="B27:N27" si="1">SUM(B7:B26)</f>
        <v>1</v>
      </c>
      <c r="C27" s="637">
        <f t="shared" si="1"/>
        <v>4226222.5351250712</v>
      </c>
      <c r="D27" s="637">
        <f t="shared" si="1"/>
        <v>3292135.8090934348</v>
      </c>
      <c r="E27" s="637">
        <f t="shared" si="1"/>
        <v>3292135.8090934348</v>
      </c>
      <c r="F27" s="637">
        <f t="shared" si="1"/>
        <v>4973806.6755524464</v>
      </c>
      <c r="G27" s="637">
        <f t="shared" si="1"/>
        <v>3292135.8090934348</v>
      </c>
      <c r="H27" s="637">
        <f t="shared" si="1"/>
        <v>3292135.8090934348</v>
      </c>
      <c r="I27" s="637">
        <f t="shared" si="1"/>
        <v>4182016.5370987086</v>
      </c>
      <c r="J27" s="637">
        <f t="shared" si="1"/>
        <v>3292135.8090934353</v>
      </c>
      <c r="K27" s="637">
        <f t="shared" si="1"/>
        <v>3292135.8090934353</v>
      </c>
      <c r="L27" s="637">
        <f t="shared" si="1"/>
        <v>4360392.779476299</v>
      </c>
      <c r="M27" s="637">
        <f t="shared" si="1"/>
        <v>3292135.8090934358</v>
      </c>
      <c r="N27" s="637">
        <f t="shared" si="1"/>
        <v>3292135.8090934358</v>
      </c>
      <c r="O27" s="637">
        <f t="shared" si="0"/>
        <v>44079525.000000007</v>
      </c>
    </row>
    <row r="28" spans="1:15" x14ac:dyDescent="0.2">
      <c r="A28" s="610"/>
      <c r="B28" s="610"/>
      <c r="C28" s="610"/>
      <c r="D28" s="610"/>
      <c r="E28" s="610"/>
      <c r="F28" s="610"/>
      <c r="G28" s="610"/>
      <c r="H28" s="610"/>
      <c r="I28" s="610"/>
      <c r="J28" s="610"/>
      <c r="K28" s="610"/>
      <c r="L28" s="610"/>
      <c r="M28" s="610"/>
      <c r="N28" s="610"/>
      <c r="O28" s="610"/>
    </row>
    <row r="29" spans="1:15" x14ac:dyDescent="0.2">
      <c r="A29" s="611" t="s">
        <v>289</v>
      </c>
    </row>
    <row r="31" spans="1:15" x14ac:dyDescent="0.2">
      <c r="A31" s="740" t="s">
        <v>351</v>
      </c>
      <c r="B31" s="740"/>
      <c r="C31" s="638">
        <f>'X22.55 POE'!B61</f>
        <v>12812737.204988468</v>
      </c>
      <c r="D31" s="638">
        <f>'X22.55 POE'!C61</f>
        <v>3854496.175219011</v>
      </c>
      <c r="E31" s="638">
        <f>'X22.55 POE'!D61</f>
        <v>3854496.175219011</v>
      </c>
      <c r="F31" s="638">
        <f>'X22.55 POE'!E61</f>
        <v>18753850.824394975</v>
      </c>
      <c r="G31" s="638">
        <f>'X22.55 POE'!F61</f>
        <v>3854496.175219011</v>
      </c>
      <c r="H31" s="638">
        <f>'X22.55 POE'!G61</f>
        <v>3854496.175219011</v>
      </c>
      <c r="I31" s="638">
        <f>'X22.55 POE'!H61</f>
        <v>19518272.153033845</v>
      </c>
      <c r="J31" s="638">
        <f>'X22.55 POE'!I61</f>
        <v>3854496.175219011</v>
      </c>
      <c r="K31" s="638">
        <f>'X22.55 POE'!J61</f>
        <v>3854496.175219011</v>
      </c>
      <c r="L31" s="638">
        <f>'X22.55 POE'!K61</f>
        <v>12652719.765830627</v>
      </c>
      <c r="M31" s="638">
        <f>'X22.55 POE'!L61</f>
        <v>3854496.175219011</v>
      </c>
      <c r="N31" s="638">
        <f>'X22.55 POE'!M61</f>
        <v>3854496.175219011</v>
      </c>
      <c r="O31" s="638">
        <f>SUM(C31:N31)</f>
        <v>94573549.350000009</v>
      </c>
    </row>
    <row r="32" spans="1:15" x14ac:dyDescent="0.2">
      <c r="A32" s="741" t="s">
        <v>360</v>
      </c>
      <c r="B32" s="742"/>
      <c r="C32" s="638">
        <f>'X22.55 POE'!B62</f>
        <v>4226222.5351250712</v>
      </c>
      <c r="D32" s="638">
        <f>'X22.55 POE'!C62</f>
        <v>3292135.8090934348</v>
      </c>
      <c r="E32" s="638">
        <f>'X22.55 POE'!D62</f>
        <v>3292135.8090934348</v>
      </c>
      <c r="F32" s="638">
        <f>'X22.55 POE'!E62</f>
        <v>4973806.6755524464</v>
      </c>
      <c r="G32" s="638">
        <f>'X22.55 POE'!F62</f>
        <v>3292135.8090934348</v>
      </c>
      <c r="H32" s="638">
        <f>'X22.55 POE'!G62</f>
        <v>3292135.8090934348</v>
      </c>
      <c r="I32" s="638">
        <f>'X22.55 POE'!H62</f>
        <v>4182016.5370987086</v>
      </c>
      <c r="J32" s="638">
        <f>'X22.55 POE'!I62</f>
        <v>3292135.8090934353</v>
      </c>
      <c r="K32" s="638">
        <f>'X22.55 POE'!J62</f>
        <v>3292135.8090934353</v>
      </c>
      <c r="L32" s="638">
        <f>'X22.55 POE'!K62</f>
        <v>4360392.779476299</v>
      </c>
      <c r="M32" s="638">
        <f>'X22.55 POE'!L62</f>
        <v>3292135.8090934358</v>
      </c>
      <c r="N32" s="638">
        <f>'X22.55 POE'!M62</f>
        <v>3292135.8090934358</v>
      </c>
      <c r="O32" s="638">
        <f>SUM(C32:N32)</f>
        <v>44079525.000000007</v>
      </c>
    </row>
    <row r="33" spans="1:15" x14ac:dyDescent="0.2">
      <c r="A33" s="1256" t="s">
        <v>345</v>
      </c>
      <c r="B33" s="1257"/>
      <c r="C33" s="638">
        <f>C31-C32</f>
        <v>8586514.6698633973</v>
      </c>
      <c r="D33" s="638">
        <f t="shared" ref="D33:N33" si="2">D31-D32</f>
        <v>562360.3661255762</v>
      </c>
      <c r="E33" s="638">
        <f t="shared" si="2"/>
        <v>562360.3661255762</v>
      </c>
      <c r="F33" s="638">
        <f t="shared" si="2"/>
        <v>13780044.148842528</v>
      </c>
      <c r="G33" s="638">
        <f t="shared" si="2"/>
        <v>562360.3661255762</v>
      </c>
      <c r="H33" s="638">
        <f t="shared" si="2"/>
        <v>562360.3661255762</v>
      </c>
      <c r="I33" s="638">
        <f t="shared" si="2"/>
        <v>15336255.615935136</v>
      </c>
      <c r="J33" s="638">
        <f t="shared" si="2"/>
        <v>562360.36612557573</v>
      </c>
      <c r="K33" s="638">
        <f t="shared" si="2"/>
        <v>562360.36612557573</v>
      </c>
      <c r="L33" s="638">
        <f t="shared" si="2"/>
        <v>8292326.9863543278</v>
      </c>
      <c r="M33" s="638">
        <f t="shared" si="2"/>
        <v>562360.36612557527</v>
      </c>
      <c r="N33" s="638">
        <f t="shared" si="2"/>
        <v>562360.36612557527</v>
      </c>
      <c r="O33" s="638">
        <f t="shared" ref="O33" si="3">O31-O32</f>
        <v>50494024.350000001</v>
      </c>
    </row>
    <row r="34" spans="1:15" x14ac:dyDescent="0.2">
      <c r="A34" s="610"/>
      <c r="B34" s="610"/>
    </row>
  </sheetData>
  <mergeCells count="5">
    <mergeCell ref="A1:O1"/>
    <mergeCell ref="A2:O2"/>
    <mergeCell ref="A3:O3"/>
    <mergeCell ref="A4:O4"/>
    <mergeCell ref="A33:B33"/>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1:Q32"/>
  <sheetViews>
    <sheetView workbookViewId="0">
      <selection activeCell="C35" sqref="C35"/>
    </sheetView>
  </sheetViews>
  <sheetFormatPr baseColWidth="10" defaultRowHeight="12.75" x14ac:dyDescent="0.2"/>
  <cols>
    <col min="1" max="1" width="16.85546875" style="597" customWidth="1"/>
    <col min="2" max="2" width="9.28515625" style="597" bestFit="1" customWidth="1"/>
    <col min="3" max="14" width="11.7109375" style="597" bestFit="1" customWidth="1"/>
    <col min="15" max="15" width="13"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352</v>
      </c>
      <c r="B4" s="1255"/>
      <c r="C4" s="1255"/>
      <c r="D4" s="1255"/>
      <c r="E4" s="1255"/>
      <c r="F4" s="1255"/>
      <c r="G4" s="1255"/>
      <c r="H4" s="1255"/>
      <c r="I4" s="1255"/>
      <c r="J4" s="1255"/>
      <c r="K4" s="1255"/>
      <c r="L4" s="1255"/>
      <c r="M4" s="1255"/>
      <c r="N4" s="1255"/>
      <c r="O4" s="1255"/>
    </row>
    <row r="5" spans="1:15" ht="13.5" thickBot="1" x14ac:dyDescent="0.25"/>
    <row r="6" spans="1:15" ht="34.5" thickBot="1" x14ac:dyDescent="0.25">
      <c r="A6" s="598" t="s">
        <v>13</v>
      </c>
      <c r="B6" s="599" t="s">
        <v>393</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28">
        <f>'IEPS GyD '!F8</f>
        <v>3.0136241193535018</v>
      </c>
      <c r="C7" s="629">
        <f>$C$32*B7/100</f>
        <v>71461.147719673492</v>
      </c>
      <c r="D7" s="629">
        <f>$D$32*B7/100</f>
        <v>61983.858404739869</v>
      </c>
      <c r="E7" s="629">
        <f>$E$32*B7/100</f>
        <v>42288.017102102509</v>
      </c>
      <c r="F7" s="629">
        <f>$F$32*B7/100</f>
        <v>35698.293759281718</v>
      </c>
      <c r="G7" s="629">
        <f>$G$32*B7/100</f>
        <v>49958.970482152246</v>
      </c>
      <c r="H7" s="629">
        <f>$H$32*B7/100</f>
        <v>48880.181010525419</v>
      </c>
      <c r="I7" s="629">
        <f>$I$32*B7/100</f>
        <v>50624.154616839609</v>
      </c>
      <c r="J7" s="629">
        <f>$J$32*B7/100</f>
        <v>45530.730546737497</v>
      </c>
      <c r="K7" s="629">
        <f>$K$32*B7/100</f>
        <v>53174.174115854876</v>
      </c>
      <c r="L7" s="629">
        <f>$L$32*B7/100</f>
        <v>47670.233915133562</v>
      </c>
      <c r="M7" s="629">
        <f>$M$32*B7/100</f>
        <v>45307.803183830074</v>
      </c>
      <c r="N7" s="629">
        <f>$N$32*B7/100</f>
        <v>77010.537157607963</v>
      </c>
      <c r="O7" s="632">
        <f>SUM(C7:N7)</f>
        <v>629588.10201447888</v>
      </c>
    </row>
    <row r="8" spans="1:15" x14ac:dyDescent="0.2">
      <c r="A8" s="602" t="s">
        <v>147</v>
      </c>
      <c r="B8" s="633">
        <f>'IEPS GyD '!F9</f>
        <v>1.2459367229589724</v>
      </c>
      <c r="C8" s="629">
        <f t="shared" ref="C8:C26" si="0">$C$32*B8/100</f>
        <v>29544.516728860504</v>
      </c>
      <c r="D8" s="629">
        <f t="shared" ref="D8:D26" si="1">$D$32*B8/100</f>
        <v>25626.276655139696</v>
      </c>
      <c r="E8" s="629">
        <f t="shared" ref="E8:E26" si="2">$E$32*B8/100</f>
        <v>17483.332811900087</v>
      </c>
      <c r="F8" s="629">
        <f t="shared" ref="F8:F26" si="3">$F$32*B8/100</f>
        <v>14758.912651391909</v>
      </c>
      <c r="G8" s="629">
        <f t="shared" ref="G8:G26" si="4">$G$32*B8/100</f>
        <v>20654.770966689124</v>
      </c>
      <c r="H8" s="629">
        <f t="shared" ref="H8:H26" si="5">$H$32*B8/100</f>
        <v>20208.761986866619</v>
      </c>
      <c r="I8" s="629">
        <f t="shared" ref="I8:I26" si="6">$I$32*B8/100</f>
        <v>20929.781156451769</v>
      </c>
      <c r="J8" s="629">
        <f t="shared" ref="J8:J26" si="7">$J$32*B8/100</f>
        <v>18823.983006712788</v>
      </c>
      <c r="K8" s="629">
        <f t="shared" ref="K8:K26" si="8">$K$32*B8/100</f>
        <v>21984.047651626403</v>
      </c>
      <c r="L8" s="629">
        <f t="shared" ref="L8:L26" si="9">$L$32*B8/100</f>
        <v>19708.527896853542</v>
      </c>
      <c r="M8" s="629">
        <f t="shared" ref="M8:M26" si="10">$M$32*B8/100</f>
        <v>18731.8171038004</v>
      </c>
      <c r="N8" s="629">
        <f t="shared" ref="N8:N26" si="11">$N$32*B8/100</f>
        <v>31838.826774469799</v>
      </c>
      <c r="O8" s="632">
        <f t="shared" ref="O8:O26" si="12">SUM(C8:N8)</f>
        <v>260293.55539076263</v>
      </c>
    </row>
    <row r="9" spans="1:15" x14ac:dyDescent="0.2">
      <c r="A9" s="602" t="s">
        <v>148</v>
      </c>
      <c r="B9" s="633">
        <f>'IEPS GyD '!F10</f>
        <v>0.93374430169912959</v>
      </c>
      <c r="C9" s="629">
        <f t="shared" si="0"/>
        <v>22141.593255644428</v>
      </c>
      <c r="D9" s="629">
        <f t="shared" si="1"/>
        <v>19205.140485525331</v>
      </c>
      <c r="E9" s="629">
        <f t="shared" si="2"/>
        <v>13102.561379723207</v>
      </c>
      <c r="F9" s="629">
        <f t="shared" si="3"/>
        <v>11060.794929283247</v>
      </c>
      <c r="G9" s="629">
        <f t="shared" si="4"/>
        <v>15479.337222875703</v>
      </c>
      <c r="H9" s="629">
        <f t="shared" si="5"/>
        <v>15145.084017442556</v>
      </c>
      <c r="I9" s="629">
        <f t="shared" si="6"/>
        <v>15685.438538350389</v>
      </c>
      <c r="J9" s="629">
        <f t="shared" si="7"/>
        <v>14107.286946367742</v>
      </c>
      <c r="K9" s="629">
        <f t="shared" si="8"/>
        <v>16475.539122273898</v>
      </c>
      <c r="L9" s="629">
        <f t="shared" si="9"/>
        <v>14770.192803098964</v>
      </c>
      <c r="M9" s="629">
        <f t="shared" si="10"/>
        <v>14038.214909987746</v>
      </c>
      <c r="N9" s="629">
        <f t="shared" si="11"/>
        <v>23861.021611790002</v>
      </c>
      <c r="O9" s="632">
        <f t="shared" si="12"/>
        <v>195072.20522236321</v>
      </c>
    </row>
    <row r="10" spans="1:15" x14ac:dyDescent="0.2">
      <c r="A10" s="602" t="s">
        <v>283</v>
      </c>
      <c r="B10" s="633">
        <f>'IEPS GyD '!F11</f>
        <v>15.187266887691669</v>
      </c>
      <c r="C10" s="629">
        <f t="shared" si="0"/>
        <v>360131.01818161196</v>
      </c>
      <c r="D10" s="629">
        <f t="shared" si="1"/>
        <v>312369.87860437663</v>
      </c>
      <c r="E10" s="629">
        <f t="shared" si="2"/>
        <v>213111.97961167002</v>
      </c>
      <c r="F10" s="629">
        <f t="shared" si="3"/>
        <v>179902.83236574847</v>
      </c>
      <c r="G10" s="629">
        <f t="shared" si="4"/>
        <v>251770.02442810455</v>
      </c>
      <c r="H10" s="629">
        <f t="shared" si="5"/>
        <v>246333.42617551851</v>
      </c>
      <c r="I10" s="629">
        <f t="shared" si="6"/>
        <v>255122.24374373787</v>
      </c>
      <c r="J10" s="629">
        <f t="shared" si="7"/>
        <v>229453.7503745555</v>
      </c>
      <c r="K10" s="629">
        <f t="shared" si="8"/>
        <v>267973.15851165878</v>
      </c>
      <c r="L10" s="629">
        <f t="shared" si="9"/>
        <v>240235.85437162491</v>
      </c>
      <c r="M10" s="629">
        <f t="shared" si="10"/>
        <v>228330.29992985618</v>
      </c>
      <c r="N10" s="629">
        <f t="shared" si="11"/>
        <v>388097.36538344162</v>
      </c>
      <c r="O10" s="632">
        <f t="shared" si="12"/>
        <v>3172831.8316819053</v>
      </c>
    </row>
    <row r="11" spans="1:15" x14ac:dyDescent="0.2">
      <c r="A11" s="602" t="s">
        <v>150</v>
      </c>
      <c r="B11" s="633">
        <f>'IEPS GyD '!F12</f>
        <v>6.2678071902196431</v>
      </c>
      <c r="C11" s="629">
        <f t="shared" si="0"/>
        <v>148626.59633703902</v>
      </c>
      <c r="D11" s="629">
        <f t="shared" si="1"/>
        <v>128915.50438948853</v>
      </c>
      <c r="E11" s="629">
        <f t="shared" si="2"/>
        <v>87951.624739965875</v>
      </c>
      <c r="F11" s="629">
        <f t="shared" si="3"/>
        <v>74246.161246877382</v>
      </c>
      <c r="G11" s="629">
        <f t="shared" si="4"/>
        <v>103905.85620584284</v>
      </c>
      <c r="H11" s="629">
        <f t="shared" si="5"/>
        <v>101662.16417949738</v>
      </c>
      <c r="I11" s="629">
        <f t="shared" si="6"/>
        <v>105289.32200552191</v>
      </c>
      <c r="J11" s="629">
        <f t="shared" si="7"/>
        <v>94695.897362944917</v>
      </c>
      <c r="K11" s="629">
        <f t="shared" si="8"/>
        <v>110592.91326910556</v>
      </c>
      <c r="L11" s="629">
        <f t="shared" si="9"/>
        <v>99145.687404713201</v>
      </c>
      <c r="M11" s="629">
        <f t="shared" si="10"/>
        <v>94232.247726231886</v>
      </c>
      <c r="N11" s="629">
        <f t="shared" si="11"/>
        <v>160168.34860701897</v>
      </c>
      <c r="O11" s="632">
        <f t="shared" si="12"/>
        <v>1309432.3234742475</v>
      </c>
    </row>
    <row r="12" spans="1:15" x14ac:dyDescent="0.2">
      <c r="A12" s="602" t="s">
        <v>284</v>
      </c>
      <c r="B12" s="633">
        <f>'IEPS GyD '!F13</f>
        <v>3.8487813406547868</v>
      </c>
      <c r="C12" s="629">
        <f t="shared" si="0"/>
        <v>91264.975667986553</v>
      </c>
      <c r="D12" s="629">
        <f t="shared" si="1"/>
        <v>79161.271678808058</v>
      </c>
      <c r="E12" s="629">
        <f t="shared" si="2"/>
        <v>54007.17697692776</v>
      </c>
      <c r="F12" s="629">
        <f t="shared" si="3"/>
        <v>45591.262039478024</v>
      </c>
      <c r="G12" s="629">
        <f t="shared" si="4"/>
        <v>63803.96020698161</v>
      </c>
      <c r="H12" s="629">
        <f t="shared" si="5"/>
        <v>62426.208827097231</v>
      </c>
      <c r="I12" s="629">
        <f t="shared" si="6"/>
        <v>64653.484960000096</v>
      </c>
      <c r="J12" s="629">
        <f t="shared" si="7"/>
        <v>58148.534526680502</v>
      </c>
      <c r="K12" s="629">
        <f t="shared" si="8"/>
        <v>67910.184228859565</v>
      </c>
      <c r="L12" s="629">
        <f t="shared" si="9"/>
        <v>60880.952478099513</v>
      </c>
      <c r="M12" s="629">
        <f t="shared" si="10"/>
        <v>57863.827927350671</v>
      </c>
      <c r="N12" s="629">
        <f t="shared" si="11"/>
        <v>98352.251875920148</v>
      </c>
      <c r="O12" s="632">
        <f t="shared" si="12"/>
        <v>804064.09139418963</v>
      </c>
    </row>
    <row r="13" spans="1:15" x14ac:dyDescent="0.2">
      <c r="A13" s="602" t="s">
        <v>152</v>
      </c>
      <c r="B13" s="633">
        <f>'IEPS GyD '!F14</f>
        <v>0.98991789266473262</v>
      </c>
      <c r="C13" s="629">
        <f t="shared" si="0"/>
        <v>23473.620450462149</v>
      </c>
      <c r="D13" s="629">
        <f t="shared" si="1"/>
        <v>20360.512147882699</v>
      </c>
      <c r="E13" s="629">
        <f t="shared" si="2"/>
        <v>13890.804930133048</v>
      </c>
      <c r="F13" s="629">
        <f t="shared" si="3"/>
        <v>11726.206829501916</v>
      </c>
      <c r="G13" s="629">
        <f t="shared" si="4"/>
        <v>16410.566421269927</v>
      </c>
      <c r="H13" s="629">
        <f t="shared" si="5"/>
        <v>16056.204709892721</v>
      </c>
      <c r="I13" s="629">
        <f t="shared" si="6"/>
        <v>16629.066688975836</v>
      </c>
      <c r="J13" s="629">
        <f t="shared" si="7"/>
        <v>14955.974285200893</v>
      </c>
      <c r="K13" s="629">
        <f t="shared" si="8"/>
        <v>17466.699329525811</v>
      </c>
      <c r="L13" s="629">
        <f t="shared" si="9"/>
        <v>15658.760227279852</v>
      </c>
      <c r="M13" s="629">
        <f t="shared" si="10"/>
        <v>14882.746909600392</v>
      </c>
      <c r="N13" s="629">
        <f t="shared" si="11"/>
        <v>25296.488757991654</v>
      </c>
      <c r="O13" s="632">
        <f t="shared" si="12"/>
        <v>206807.65168771689</v>
      </c>
    </row>
    <row r="14" spans="1:15" x14ac:dyDescent="0.2">
      <c r="A14" s="602" t="s">
        <v>153</v>
      </c>
      <c r="B14" s="633">
        <f>'IEPS GyD '!F15</f>
        <v>2.3715130283878989</v>
      </c>
      <c r="C14" s="629">
        <f t="shared" si="0"/>
        <v>56234.963661332018</v>
      </c>
      <c r="D14" s="629">
        <f t="shared" si="1"/>
        <v>48776.994719608774</v>
      </c>
      <c r="E14" s="629">
        <f t="shared" si="2"/>
        <v>33277.734558296666</v>
      </c>
      <c r="F14" s="629">
        <f t="shared" si="3"/>
        <v>28092.079631854183</v>
      </c>
      <c r="G14" s="629">
        <f t="shared" si="4"/>
        <v>39314.242483792936</v>
      </c>
      <c r="H14" s="629">
        <f t="shared" si="5"/>
        <v>38465.310040486256</v>
      </c>
      <c r="I14" s="629">
        <f t="shared" si="6"/>
        <v>39837.696232240647</v>
      </c>
      <c r="J14" s="629">
        <f t="shared" si="7"/>
        <v>35829.524986271543</v>
      </c>
      <c r="K14" s="629">
        <f t="shared" si="8"/>
        <v>41844.384599818222</v>
      </c>
      <c r="L14" s="629">
        <f t="shared" si="9"/>
        <v>37513.165649965034</v>
      </c>
      <c r="M14" s="629">
        <f t="shared" si="10"/>
        <v>35654.09662341635</v>
      </c>
      <c r="N14" s="629">
        <f t="shared" si="11"/>
        <v>60601.948006573803</v>
      </c>
      <c r="O14" s="632">
        <f t="shared" si="12"/>
        <v>495442.14119365648</v>
      </c>
    </row>
    <row r="15" spans="1:15" x14ac:dyDescent="0.2">
      <c r="A15" s="602" t="s">
        <v>154</v>
      </c>
      <c r="B15" s="633">
        <f>'IEPS GyD '!F16</f>
        <v>1.563876010153336</v>
      </c>
      <c r="C15" s="629">
        <f t="shared" si="0"/>
        <v>37083.713877627088</v>
      </c>
      <c r="D15" s="629">
        <f t="shared" si="1"/>
        <v>32165.613672055733</v>
      </c>
      <c r="E15" s="629">
        <f t="shared" si="2"/>
        <v>21944.745875314853</v>
      </c>
      <c r="F15" s="629">
        <f t="shared" si="3"/>
        <v>18525.105654358671</v>
      </c>
      <c r="G15" s="629">
        <f t="shared" si="4"/>
        <v>25925.474556447771</v>
      </c>
      <c r="H15" s="629">
        <f t="shared" si="5"/>
        <v>25365.652591973612</v>
      </c>
      <c r="I15" s="629">
        <f t="shared" si="6"/>
        <v>26270.662101202135</v>
      </c>
      <c r="J15" s="629">
        <f t="shared" si="7"/>
        <v>23627.504428811648</v>
      </c>
      <c r="K15" s="629">
        <f t="shared" si="8"/>
        <v>27593.95729728277</v>
      </c>
      <c r="L15" s="629">
        <f t="shared" si="9"/>
        <v>24737.768303456582</v>
      </c>
      <c r="M15" s="629">
        <f t="shared" si="10"/>
        <v>23511.819545412036</v>
      </c>
      <c r="N15" s="629">
        <f t="shared" si="11"/>
        <v>39963.488086112571</v>
      </c>
      <c r="O15" s="632">
        <f t="shared" si="12"/>
        <v>326715.50599005551</v>
      </c>
    </row>
    <row r="16" spans="1:15" x14ac:dyDescent="0.2">
      <c r="A16" s="602" t="s">
        <v>155</v>
      </c>
      <c r="B16" s="633">
        <f>'IEPS GyD '!F17</f>
        <v>1.1104401937422297</v>
      </c>
      <c r="C16" s="629">
        <f t="shared" si="0"/>
        <v>26331.528941937067</v>
      </c>
      <c r="D16" s="629">
        <f t="shared" si="1"/>
        <v>22839.400339885753</v>
      </c>
      <c r="E16" s="629">
        <f t="shared" si="2"/>
        <v>15582.007590882691</v>
      </c>
      <c r="F16" s="629">
        <f t="shared" si="3"/>
        <v>13153.870113976845</v>
      </c>
      <c r="G16" s="629">
        <f t="shared" si="4"/>
        <v>18408.549528487503</v>
      </c>
      <c r="H16" s="629">
        <f t="shared" si="5"/>
        <v>18011.044351187105</v>
      </c>
      <c r="I16" s="629">
        <f t="shared" si="6"/>
        <v>18653.652159121797</v>
      </c>
      <c r="J16" s="629">
        <f t="shared" si="7"/>
        <v>16776.861097193054</v>
      </c>
      <c r="K16" s="629">
        <f t="shared" si="8"/>
        <v>19593.266402433743</v>
      </c>
      <c r="L16" s="629">
        <f t="shared" si="9"/>
        <v>17565.211084059876</v>
      </c>
      <c r="M16" s="629">
        <f t="shared" si="10"/>
        <v>16694.718303581994</v>
      </c>
      <c r="N16" s="629">
        <f t="shared" si="11"/>
        <v>28376.331093285982</v>
      </c>
      <c r="O16" s="632">
        <f t="shared" si="12"/>
        <v>231986.44100603342</v>
      </c>
    </row>
    <row r="17" spans="1:17" x14ac:dyDescent="0.2">
      <c r="A17" s="602" t="s">
        <v>156</v>
      </c>
      <c r="B17" s="633">
        <f>'IEPS GyD '!F18</f>
        <v>2.7169725186489848</v>
      </c>
      <c r="C17" s="629">
        <f t="shared" si="0"/>
        <v>64426.738974706714</v>
      </c>
      <c r="D17" s="629">
        <f t="shared" si="1"/>
        <v>55882.363963039956</v>
      </c>
      <c r="E17" s="629">
        <f t="shared" si="2"/>
        <v>38125.31881355487</v>
      </c>
      <c r="F17" s="629">
        <f t="shared" si="3"/>
        <v>32184.266937521741</v>
      </c>
      <c r="G17" s="629">
        <f t="shared" si="4"/>
        <v>45041.167871035781</v>
      </c>
      <c r="H17" s="629">
        <f t="shared" si="5"/>
        <v>44068.571013652421</v>
      </c>
      <c r="I17" s="629">
        <f t="shared" si="6"/>
        <v>45640.873389113003</v>
      </c>
      <c r="J17" s="629">
        <f t="shared" si="7"/>
        <v>41048.829830853509</v>
      </c>
      <c r="K17" s="629">
        <f t="shared" si="8"/>
        <v>47939.877055943834</v>
      </c>
      <c r="L17" s="629">
        <f t="shared" si="9"/>
        <v>42977.727273025579</v>
      </c>
      <c r="M17" s="629">
        <f t="shared" si="10"/>
        <v>40847.846730544268</v>
      </c>
      <c r="N17" s="629">
        <f t="shared" si="11"/>
        <v>69429.864116067547</v>
      </c>
      <c r="O17" s="632">
        <f t="shared" si="12"/>
        <v>567613.44596905925</v>
      </c>
    </row>
    <row r="18" spans="1:17" x14ac:dyDescent="0.2">
      <c r="A18" s="602" t="s">
        <v>157</v>
      </c>
      <c r="B18" s="633">
        <f>'IEPS GyD '!F19</f>
        <v>1.9503729796933278</v>
      </c>
      <c r="C18" s="629">
        <f t="shared" si="0"/>
        <v>46248.598395285037</v>
      </c>
      <c r="D18" s="629">
        <f t="shared" si="1"/>
        <v>40115.036853260965</v>
      </c>
      <c r="E18" s="629">
        <f t="shared" si="2"/>
        <v>27368.179525469008</v>
      </c>
      <c r="F18" s="629">
        <f t="shared" si="3"/>
        <v>23103.407993759462</v>
      </c>
      <c r="G18" s="629">
        <f t="shared" si="4"/>
        <v>32332.707153468531</v>
      </c>
      <c r="H18" s="629">
        <f t="shared" si="5"/>
        <v>31634.530555157406</v>
      </c>
      <c r="I18" s="629">
        <f t="shared" si="6"/>
        <v>32763.204492032855</v>
      </c>
      <c r="J18" s="629">
        <f t="shared" si="7"/>
        <v>29466.81572986106</v>
      </c>
      <c r="K18" s="629">
        <f t="shared" si="8"/>
        <v>34413.53941490221</v>
      </c>
      <c r="L18" s="629">
        <f t="shared" si="9"/>
        <v>30851.470681646388</v>
      </c>
      <c r="M18" s="629">
        <f t="shared" si="10"/>
        <v>29322.540436118652</v>
      </c>
      <c r="N18" s="629">
        <f t="shared" si="11"/>
        <v>49840.081202989939</v>
      </c>
      <c r="O18" s="632">
        <f t="shared" si="12"/>
        <v>407460.11243395146</v>
      </c>
    </row>
    <row r="19" spans="1:17" x14ac:dyDescent="0.2">
      <c r="A19" s="602" t="s">
        <v>158</v>
      </c>
      <c r="B19" s="633">
        <f>'IEPS GyD '!F20</f>
        <v>3.3605405615416495</v>
      </c>
      <c r="C19" s="629">
        <f t="shared" si="0"/>
        <v>79687.471288821573</v>
      </c>
      <c r="D19" s="629">
        <f t="shared" si="1"/>
        <v>69119.194060163049</v>
      </c>
      <c r="E19" s="629">
        <f t="shared" si="2"/>
        <v>47156.045714575957</v>
      </c>
      <c r="F19" s="629">
        <f t="shared" si="3"/>
        <v>39807.739586856958</v>
      </c>
      <c r="G19" s="629">
        <f t="shared" si="4"/>
        <v>55710.048788085434</v>
      </c>
      <c r="H19" s="629">
        <f t="shared" si="5"/>
        <v>54507.07335611825</v>
      </c>
      <c r="I19" s="629">
        <f t="shared" si="6"/>
        <v>56451.806279059601</v>
      </c>
      <c r="J19" s="629">
        <f t="shared" si="7"/>
        <v>50772.047454862688</v>
      </c>
      <c r="K19" s="629">
        <f t="shared" si="8"/>
        <v>59295.373897240621</v>
      </c>
      <c r="L19" s="629">
        <f t="shared" si="9"/>
        <v>53157.841955535972</v>
      </c>
      <c r="M19" s="629">
        <f t="shared" si="10"/>
        <v>50523.457579132395</v>
      </c>
      <c r="N19" s="629">
        <f t="shared" si="11"/>
        <v>85875.684403458523</v>
      </c>
      <c r="O19" s="632">
        <f t="shared" si="12"/>
        <v>702063.78436391091</v>
      </c>
    </row>
    <row r="20" spans="1:17" x14ac:dyDescent="0.2">
      <c r="A20" s="602" t="s">
        <v>285</v>
      </c>
      <c r="B20" s="633">
        <f>'IEPS GyD '!F21</f>
        <v>0.62187564753418989</v>
      </c>
      <c r="C20" s="629">
        <f t="shared" si="0"/>
        <v>14746.347172600224</v>
      </c>
      <c r="D20" s="629">
        <f t="shared" si="1"/>
        <v>12790.663518575862</v>
      </c>
      <c r="E20" s="629">
        <f t="shared" si="2"/>
        <v>8726.3331380386135</v>
      </c>
      <c r="F20" s="629">
        <f t="shared" si="3"/>
        <v>7366.512434265187</v>
      </c>
      <c r="G20" s="629">
        <f t="shared" si="4"/>
        <v>10309.270794326809</v>
      </c>
      <c r="H20" s="629">
        <f t="shared" si="5"/>
        <v>10086.657464113314</v>
      </c>
      <c r="I20" s="629">
        <f t="shared" si="6"/>
        <v>10446.534699215157</v>
      </c>
      <c r="J20" s="629">
        <f t="shared" si="7"/>
        <v>9395.482455698977</v>
      </c>
      <c r="K20" s="629">
        <f t="shared" si="8"/>
        <v>10972.7433318681</v>
      </c>
      <c r="L20" s="629">
        <f t="shared" si="9"/>
        <v>9836.9791354203699</v>
      </c>
      <c r="M20" s="629">
        <f t="shared" si="10"/>
        <v>9349.4803357694072</v>
      </c>
      <c r="N20" s="629">
        <f t="shared" si="11"/>
        <v>15891.490034967288</v>
      </c>
      <c r="O20" s="632">
        <f t="shared" si="12"/>
        <v>129918.4945148593</v>
      </c>
    </row>
    <row r="21" spans="1:17" x14ac:dyDescent="0.2">
      <c r="A21" s="602" t="s">
        <v>286</v>
      </c>
      <c r="B21" s="633">
        <f>'IEPS GyD '!F22</f>
        <v>2.0163405252797348</v>
      </c>
      <c r="C21" s="629">
        <f t="shared" si="0"/>
        <v>47812.866642801528</v>
      </c>
      <c r="D21" s="629">
        <f t="shared" si="1"/>
        <v>41471.849396231068</v>
      </c>
      <c r="E21" s="629">
        <f t="shared" si="2"/>
        <v>28293.854588270187</v>
      </c>
      <c r="F21" s="629">
        <f t="shared" si="3"/>
        <v>23884.835513468704</v>
      </c>
      <c r="G21" s="629">
        <f t="shared" si="4"/>
        <v>33426.297638614487</v>
      </c>
      <c r="H21" s="629">
        <f t="shared" si="5"/>
        <v>32704.506584475686</v>
      </c>
      <c r="I21" s="629">
        <f t="shared" si="6"/>
        <v>33871.355706384064</v>
      </c>
      <c r="J21" s="629">
        <f t="shared" si="7"/>
        <v>30463.473051401426</v>
      </c>
      <c r="K21" s="629">
        <f t="shared" si="8"/>
        <v>35577.509975291701</v>
      </c>
      <c r="L21" s="629">
        <f t="shared" si="9"/>
        <v>31894.961244625378</v>
      </c>
      <c r="M21" s="629">
        <f t="shared" si="10"/>
        <v>30314.31792845915</v>
      </c>
      <c r="N21" s="629">
        <f t="shared" si="11"/>
        <v>51525.824321367967</v>
      </c>
      <c r="O21" s="632">
        <f t="shared" si="12"/>
        <v>421241.65259139129</v>
      </c>
    </row>
    <row r="22" spans="1:17" x14ac:dyDescent="0.2">
      <c r="A22" s="602" t="s">
        <v>287</v>
      </c>
      <c r="B22" s="633">
        <f>'IEPS GyD '!F23</f>
        <v>7.6069888365105687</v>
      </c>
      <c r="C22" s="629">
        <f t="shared" si="0"/>
        <v>180382.20143539525</v>
      </c>
      <c r="D22" s="629">
        <f t="shared" si="1"/>
        <v>156459.63141211483</v>
      </c>
      <c r="E22" s="629">
        <f t="shared" si="2"/>
        <v>106743.39641364139</v>
      </c>
      <c r="F22" s="629">
        <f t="shared" si="3"/>
        <v>90109.619300361388</v>
      </c>
      <c r="G22" s="629">
        <f t="shared" si="4"/>
        <v>126106.41396871375</v>
      </c>
      <c r="H22" s="629">
        <f t="shared" si="5"/>
        <v>123383.33400167034</v>
      </c>
      <c r="I22" s="629">
        <f t="shared" si="6"/>
        <v>127785.47150422228</v>
      </c>
      <c r="J22" s="629">
        <f t="shared" si="7"/>
        <v>114928.65243642399</v>
      </c>
      <c r="K22" s="629">
        <f t="shared" si="8"/>
        <v>134222.22973738069</v>
      </c>
      <c r="L22" s="629">
        <f t="shared" si="9"/>
        <v>120329.18601144626</v>
      </c>
      <c r="M22" s="629">
        <f t="shared" si="10"/>
        <v>114365.93927319335</v>
      </c>
      <c r="N22" s="629">
        <f t="shared" si="11"/>
        <v>194389.96810832497</v>
      </c>
      <c r="O22" s="632">
        <f t="shared" si="12"/>
        <v>1589206.0436028885</v>
      </c>
    </row>
    <row r="23" spans="1:17" x14ac:dyDescent="0.2">
      <c r="A23" s="602" t="s">
        <v>162</v>
      </c>
      <c r="B23" s="633">
        <f>'IEPS GyD '!F24</f>
        <v>3.0057727673021133</v>
      </c>
      <c r="C23" s="629">
        <f t="shared" si="0"/>
        <v>71274.971008005887</v>
      </c>
      <c r="D23" s="629">
        <f t="shared" si="1"/>
        <v>61822.372740116436</v>
      </c>
      <c r="E23" s="629">
        <f t="shared" si="2"/>
        <v>42177.844732664817</v>
      </c>
      <c r="F23" s="629">
        <f t="shared" si="3"/>
        <v>35605.289502334723</v>
      </c>
      <c r="G23" s="629">
        <f t="shared" si="4"/>
        <v>49828.813086987619</v>
      </c>
      <c r="H23" s="629">
        <f t="shared" si="5"/>
        <v>48752.834170226182</v>
      </c>
      <c r="I23" s="629">
        <f t="shared" si="6"/>
        <v>50492.264226910687</v>
      </c>
      <c r="J23" s="629">
        <f t="shared" si="7"/>
        <v>45412.10998208791</v>
      </c>
      <c r="K23" s="629">
        <f t="shared" si="8"/>
        <v>53035.640196397471</v>
      </c>
      <c r="L23" s="629">
        <f t="shared" si="9"/>
        <v>47546.039332791268</v>
      </c>
      <c r="M23" s="629">
        <f t="shared" si="10"/>
        <v>45189.763408668077</v>
      </c>
      <c r="N23" s="629">
        <f t="shared" si="11"/>
        <v>76809.902700574006</v>
      </c>
      <c r="O23" s="632">
        <f t="shared" si="12"/>
        <v>627947.84508776513</v>
      </c>
    </row>
    <row r="24" spans="1:17" x14ac:dyDescent="0.2">
      <c r="A24" s="602" t="s">
        <v>163</v>
      </c>
      <c r="B24" s="633">
        <f>'IEPS GyD '!F25</f>
        <v>34.475044032324909</v>
      </c>
      <c r="C24" s="629">
        <f t="shared" si="0"/>
        <v>817496.18288983183</v>
      </c>
      <c r="D24" s="629">
        <f t="shared" si="1"/>
        <v>709078.55895950866</v>
      </c>
      <c r="E24" s="629">
        <f t="shared" si="2"/>
        <v>483763.46680801222</v>
      </c>
      <c r="F24" s="629">
        <f t="shared" si="3"/>
        <v>408378.81583391456</v>
      </c>
      <c r="G24" s="629">
        <f t="shared" si="4"/>
        <v>571517.09668135503</v>
      </c>
      <c r="H24" s="629">
        <f t="shared" si="5"/>
        <v>559176.037191852</v>
      </c>
      <c r="I24" s="629">
        <f t="shared" si="6"/>
        <v>579126.62309365044</v>
      </c>
      <c r="J24" s="629">
        <f t="shared" si="7"/>
        <v>520859.23069909291</v>
      </c>
      <c r="K24" s="629">
        <f t="shared" si="8"/>
        <v>608298.15578323416</v>
      </c>
      <c r="L24" s="629">
        <f t="shared" si="9"/>
        <v>545334.56999541656</v>
      </c>
      <c r="M24" s="629">
        <f t="shared" si="10"/>
        <v>518309.00202163844</v>
      </c>
      <c r="N24" s="629">
        <f t="shared" si="11"/>
        <v>880979.69564667542</v>
      </c>
      <c r="O24" s="632">
        <f t="shared" si="12"/>
        <v>7202317.4356041821</v>
      </c>
      <c r="Q24" s="606"/>
    </row>
    <row r="25" spans="1:17" x14ac:dyDescent="0.2">
      <c r="A25" s="602" t="s">
        <v>164</v>
      </c>
      <c r="B25" s="633">
        <f>'IEPS GyD '!F26</f>
        <v>2.4334334852880231</v>
      </c>
      <c r="C25" s="629">
        <f t="shared" si="0"/>
        <v>57703.264531700261</v>
      </c>
      <c r="D25" s="629">
        <f t="shared" si="1"/>
        <v>50050.567229267821</v>
      </c>
      <c r="E25" s="629">
        <f t="shared" si="2"/>
        <v>34146.619739944392</v>
      </c>
      <c r="F25" s="629">
        <f t="shared" si="3"/>
        <v>28825.56681293096</v>
      </c>
      <c r="G25" s="629">
        <f t="shared" si="4"/>
        <v>40340.741528132377</v>
      </c>
      <c r="H25" s="629">
        <f t="shared" si="5"/>
        <v>39469.643368619363</v>
      </c>
      <c r="I25" s="629">
        <f t="shared" si="6"/>
        <v>40877.862709515088</v>
      </c>
      <c r="J25" s="629">
        <f t="shared" si="7"/>
        <v>36765.037686858515</v>
      </c>
      <c r="K25" s="629">
        <f t="shared" si="8"/>
        <v>42936.945923373998</v>
      </c>
      <c r="L25" s="629">
        <f t="shared" si="9"/>
        <v>38492.638386994397</v>
      </c>
      <c r="M25" s="629">
        <f t="shared" si="10"/>
        <v>36585.028870827977</v>
      </c>
      <c r="N25" s="629">
        <f t="shared" si="11"/>
        <v>62184.271301738445</v>
      </c>
      <c r="O25" s="632">
        <f t="shared" si="12"/>
        <v>508378.18808990356</v>
      </c>
      <c r="Q25" s="606"/>
    </row>
    <row r="26" spans="1:17" ht="13.5" thickBot="1" x14ac:dyDescent="0.25">
      <c r="A26" s="602" t="s">
        <v>165</v>
      </c>
      <c r="B26" s="634">
        <f>'IEPS GyD '!F27</f>
        <v>5.2797509583506006</v>
      </c>
      <c r="C26" s="629">
        <f t="shared" si="0"/>
        <v>125197.12088006506</v>
      </c>
      <c r="D26" s="629">
        <f t="shared" si="1"/>
        <v>108593.28265692892</v>
      </c>
      <c r="E26" s="629">
        <f t="shared" si="2"/>
        <v>74086.943155163419</v>
      </c>
      <c r="F26" s="629">
        <f t="shared" si="3"/>
        <v>62542.006973146403</v>
      </c>
      <c r="G26" s="629">
        <f t="shared" si="4"/>
        <v>87526.151847343906</v>
      </c>
      <c r="H26" s="629">
        <f t="shared" si="5"/>
        <v>85636.155112149834</v>
      </c>
      <c r="I26" s="629">
        <f t="shared" si="6"/>
        <v>88691.528295601383</v>
      </c>
      <c r="J26" s="629">
        <f t="shared" si="7"/>
        <v>79768.049603382591</v>
      </c>
      <c r="K26" s="629">
        <f t="shared" si="8"/>
        <v>93159.062188523239</v>
      </c>
      <c r="L26" s="629">
        <f t="shared" si="9"/>
        <v>83516.37537737019</v>
      </c>
      <c r="M26" s="629">
        <f t="shared" si="10"/>
        <v>79377.489629298769</v>
      </c>
      <c r="N26" s="629">
        <f t="shared" si="11"/>
        <v>134919.43296770548</v>
      </c>
      <c r="O26" s="632">
        <f t="shared" si="12"/>
        <v>1103013.598686679</v>
      </c>
    </row>
    <row r="27" spans="1:17" ht="13.5" thickBot="1" x14ac:dyDescent="0.25">
      <c r="A27" s="607" t="s">
        <v>288</v>
      </c>
      <c r="B27" s="636">
        <f t="shared" ref="B27:O27" si="13">SUM(B7:B26)</f>
        <v>100</v>
      </c>
      <c r="C27" s="637">
        <f>'X22.55 POE'!B51</f>
        <v>2371269.4380413876</v>
      </c>
      <c r="D27" s="637">
        <f>'X22.55 POE'!C51</f>
        <v>2056787.9718867186</v>
      </c>
      <c r="E27" s="637">
        <f>'X22.55 POE'!D51</f>
        <v>1403227.9882062515</v>
      </c>
      <c r="F27" s="637">
        <f>'X22.55 POE'!E51</f>
        <v>1184563.5801103124</v>
      </c>
      <c r="G27" s="637">
        <f>'X22.55 POE'!F51</f>
        <v>1657770.461860708</v>
      </c>
      <c r="H27" s="637">
        <f>'X22.55 POE'!G51</f>
        <v>1621973.3807085222</v>
      </c>
      <c r="I27" s="637">
        <f>'X22.55 POE'!H51</f>
        <v>1679843.0265981467</v>
      </c>
      <c r="J27" s="637">
        <f>'X22.55 POE'!I51</f>
        <v>1510829.7764919996</v>
      </c>
      <c r="K27" s="637">
        <f>'X22.55 POE'!J51</f>
        <v>1764459.4020325956</v>
      </c>
      <c r="L27" s="637">
        <f>'X22.55 POE'!K51</f>
        <v>1581824.1435285574</v>
      </c>
      <c r="M27" s="637">
        <f>'X22.55 POE'!L51</f>
        <v>1503432.4583767182</v>
      </c>
      <c r="N27" s="637">
        <f>'X22.55 POE'!M51</f>
        <v>2555412.8221580819</v>
      </c>
      <c r="O27" s="637">
        <f t="shared" si="13"/>
        <v>20891394.450000003</v>
      </c>
    </row>
    <row r="28" spans="1:17" x14ac:dyDescent="0.2">
      <c r="A28" s="610"/>
      <c r="B28" s="610"/>
      <c r="C28" s="610"/>
      <c r="D28" s="610"/>
      <c r="E28" s="610"/>
      <c r="F28" s="610"/>
      <c r="G28" s="610"/>
      <c r="H28" s="610"/>
      <c r="I28" s="610"/>
      <c r="J28" s="610"/>
      <c r="K28" s="610"/>
      <c r="L28" s="610"/>
      <c r="M28" s="610"/>
      <c r="N28" s="610"/>
      <c r="O28" s="610"/>
    </row>
    <row r="29" spans="1:17" ht="13.5" thickBot="1" x14ac:dyDescent="0.25">
      <c r="A29" s="611" t="s">
        <v>289</v>
      </c>
    </row>
    <row r="30" spans="1:17" x14ac:dyDescent="0.2">
      <c r="A30" s="647" t="s">
        <v>359</v>
      </c>
      <c r="C30" s="606">
        <f>'X22.55 POE'!B52</f>
        <v>5344299.3680413878</v>
      </c>
      <c r="D30" s="606">
        <f>'X22.55 POE'!C52</f>
        <v>5048188.4818867184</v>
      </c>
      <c r="E30" s="606">
        <f>'X22.55 POE'!D52</f>
        <v>4802095.1182062514</v>
      </c>
      <c r="F30" s="606">
        <f>'X22.55 POE'!E52</f>
        <v>4445601.5901103122</v>
      </c>
      <c r="G30" s="606">
        <f>'X22.55 POE'!F52</f>
        <v>5138281.0518607078</v>
      </c>
      <c r="H30" s="606">
        <f>'X22.55 POE'!G52</f>
        <v>4965849.6307085222</v>
      </c>
      <c r="I30" s="606">
        <f>'X22.55 POE'!H52</f>
        <v>5146404.0465981467</v>
      </c>
      <c r="J30" s="606">
        <f>'X22.55 POE'!I52</f>
        <v>4951818.8664919995</v>
      </c>
      <c r="K30" s="606">
        <f>'X22.55 POE'!J52</f>
        <v>5047265.2920325957</v>
      </c>
      <c r="L30" s="606">
        <f>'X22.55 POE'!K52</f>
        <v>5037665.1935285572</v>
      </c>
      <c r="M30" s="606">
        <f>'X22.55 POE'!L52</f>
        <v>4831818.3883767184</v>
      </c>
      <c r="N30" s="606">
        <f>'X22.55 POE'!M52</f>
        <v>5005357.422158082</v>
      </c>
      <c r="O30" s="606">
        <f>SUM(C30:N30)</f>
        <v>59764644.45000001</v>
      </c>
    </row>
    <row r="31" spans="1:17" x14ac:dyDescent="0.2">
      <c r="A31" s="650" t="s">
        <v>360</v>
      </c>
      <c r="C31" s="606">
        <f>'X22.55 POE'!B50</f>
        <v>2973029.93</v>
      </c>
      <c r="D31" s="606">
        <f>'X22.55 POE'!C50</f>
        <v>2991400.51</v>
      </c>
      <c r="E31" s="606">
        <f>'X22.55 POE'!D50</f>
        <v>3398867.13</v>
      </c>
      <c r="F31" s="606">
        <f>'X22.55 POE'!E50</f>
        <v>3261038.01</v>
      </c>
      <c r="G31" s="606">
        <f>'X22.55 POE'!F50</f>
        <v>3480510.59</v>
      </c>
      <c r="H31" s="606">
        <f>'X22.55 POE'!G50</f>
        <v>3343876.25</v>
      </c>
      <c r="I31" s="606">
        <f>'X22.55 POE'!H50</f>
        <v>3466561.02</v>
      </c>
      <c r="J31" s="606">
        <f>'X22.55 POE'!I50</f>
        <v>3440989.09</v>
      </c>
      <c r="K31" s="606">
        <f>'X22.55 POE'!J50</f>
        <v>3282805.89</v>
      </c>
      <c r="L31" s="606">
        <f>'X22.55 POE'!K50</f>
        <v>3455841.05</v>
      </c>
      <c r="M31" s="606">
        <f>'X22.55 POE'!L50</f>
        <v>3328385.93</v>
      </c>
      <c r="N31" s="606">
        <f>'X22.55 POE'!M50</f>
        <v>2449944.6</v>
      </c>
      <c r="O31" s="606">
        <f>SUM(C31:N31)</f>
        <v>38873250.000000007</v>
      </c>
    </row>
    <row r="32" spans="1:17" ht="13.5" thickBot="1" x14ac:dyDescent="0.25">
      <c r="A32" s="654" t="s">
        <v>345</v>
      </c>
      <c r="C32" s="606">
        <f>C30-C31</f>
        <v>2371269.4380413876</v>
      </c>
      <c r="D32" s="606">
        <f t="shared" ref="D32:N32" si="14">D30-D31</f>
        <v>2056787.9718867186</v>
      </c>
      <c r="E32" s="606">
        <f t="shared" si="14"/>
        <v>1403227.9882062515</v>
      </c>
      <c r="F32" s="606">
        <f t="shared" si="14"/>
        <v>1184563.5801103124</v>
      </c>
      <c r="G32" s="606">
        <f t="shared" si="14"/>
        <v>1657770.461860708</v>
      </c>
      <c r="H32" s="606">
        <f t="shared" si="14"/>
        <v>1621973.3807085222</v>
      </c>
      <c r="I32" s="606">
        <f t="shared" si="14"/>
        <v>1679843.0265981467</v>
      </c>
      <c r="J32" s="606">
        <f t="shared" si="14"/>
        <v>1510829.7764919996</v>
      </c>
      <c r="K32" s="606">
        <f t="shared" si="14"/>
        <v>1764459.4020325956</v>
      </c>
      <c r="L32" s="606">
        <f t="shared" si="14"/>
        <v>1581824.1435285574</v>
      </c>
      <c r="M32" s="606">
        <f t="shared" si="14"/>
        <v>1503432.4583767182</v>
      </c>
      <c r="N32" s="606">
        <f t="shared" si="14"/>
        <v>2555412.8221580819</v>
      </c>
      <c r="O32" s="606">
        <f t="shared" ref="O32" si="15">O30-O31</f>
        <v>20891394.450000003</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A1:Q31"/>
  <sheetViews>
    <sheetView workbookViewId="0">
      <selection activeCell="C30" sqref="C30"/>
    </sheetView>
  </sheetViews>
  <sheetFormatPr baseColWidth="10" defaultRowHeight="12.75" x14ac:dyDescent="0.2"/>
  <cols>
    <col min="1" max="1" width="16.85546875" style="597" customWidth="1"/>
    <col min="2" max="2" width="9.28515625" style="597" bestFit="1" customWidth="1"/>
    <col min="3" max="14" width="11.7109375" style="597" bestFit="1" customWidth="1"/>
    <col min="15" max="15" width="13"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352</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13">
        <v>3.6499999999999998E-2</v>
      </c>
      <c r="C7" s="629">
        <f>$C$27*B7</f>
        <v>108515.592445</v>
      </c>
      <c r="D7" s="630">
        <f>$D$27*B7</f>
        <v>109186.11861499998</v>
      </c>
      <c r="E7" s="629">
        <f>$E$27*B7</f>
        <v>124058.65024499998</v>
      </c>
      <c r="F7" s="630">
        <f>$F$27*B7</f>
        <v>119027.88736499999</v>
      </c>
      <c r="G7" s="629">
        <f>$G$27*B7</f>
        <v>127038.63653499998</v>
      </c>
      <c r="H7" s="629">
        <f>$H$27*B7</f>
        <v>122051.483125</v>
      </c>
      <c r="I7" s="631">
        <f>$I$27*B7</f>
        <v>126529.47722999999</v>
      </c>
      <c r="J7" s="630">
        <f>$J$27*B7</f>
        <v>125596.10178499999</v>
      </c>
      <c r="K7" s="629">
        <f>$K$27*B7</f>
        <v>119822.414985</v>
      </c>
      <c r="L7" s="630">
        <f>$L$27*B7</f>
        <v>126138.19832499999</v>
      </c>
      <c r="M7" s="629">
        <f>$M$27*B7</f>
        <v>121486.08644499999</v>
      </c>
      <c r="N7" s="629">
        <f>$N$27*B7</f>
        <v>89422.977899999998</v>
      </c>
      <c r="O7" s="632">
        <f>SUM(C7:N7)</f>
        <v>1418873.625</v>
      </c>
    </row>
    <row r="8" spans="1:15" x14ac:dyDescent="0.2">
      <c r="A8" s="602" t="s">
        <v>147</v>
      </c>
      <c r="B8" s="614">
        <v>1.49E-2</v>
      </c>
      <c r="C8" s="629">
        <f t="shared" ref="C8:C26" si="0">$C$27*B8</f>
        <v>44298.145957000001</v>
      </c>
      <c r="D8" s="630">
        <f t="shared" ref="D8:D26" si="1">$D$27*B8</f>
        <v>44571.867598999997</v>
      </c>
      <c r="E8" s="629">
        <f t="shared" ref="E8:E26" si="2">$E$27*B8</f>
        <v>50643.120236999996</v>
      </c>
      <c r="F8" s="630">
        <f t="shared" ref="F8:F26" si="3">$F$27*B8</f>
        <v>48589.466348999995</v>
      </c>
      <c r="G8" s="629">
        <f t="shared" ref="G8:G26" si="4">$G$27*B8</f>
        <v>51859.607790999995</v>
      </c>
      <c r="H8" s="629">
        <f t="shared" ref="H8:H26" si="5">$H$27*B8</f>
        <v>49823.756125</v>
      </c>
      <c r="I8" s="629">
        <f t="shared" ref="I8:I26" si="6">$I$27*B8</f>
        <v>51651.759198</v>
      </c>
      <c r="J8" s="630">
        <f t="shared" ref="J8:J26" si="7">$J$27*B8</f>
        <v>51270.737440999997</v>
      </c>
      <c r="K8" s="629">
        <f t="shared" ref="K8:K26" si="8">$K$27*B8</f>
        <v>48913.807761000004</v>
      </c>
      <c r="L8" s="630">
        <f t="shared" ref="L8:L26" si="9">$L$27*B8</f>
        <v>51492.031644999995</v>
      </c>
      <c r="M8" s="629">
        <f t="shared" ref="M8:M26" si="10">$M$27*B8</f>
        <v>49592.950357000002</v>
      </c>
      <c r="N8" s="629">
        <f t="shared" ref="N8:N26" si="11">$N$27*B8</f>
        <v>36504.17454</v>
      </c>
      <c r="O8" s="632">
        <f t="shared" ref="O8:O26" si="12">SUM(C8:N8)</f>
        <v>579211.42500000005</v>
      </c>
    </row>
    <row r="9" spans="1:15" x14ac:dyDescent="0.2">
      <c r="A9" s="602" t="s">
        <v>148</v>
      </c>
      <c r="B9" s="614">
        <v>1.09E-2</v>
      </c>
      <c r="C9" s="629">
        <f t="shared" si="0"/>
        <v>32406.026237000002</v>
      </c>
      <c r="D9" s="630">
        <f t="shared" si="1"/>
        <v>32606.265558999996</v>
      </c>
      <c r="E9" s="629">
        <f t="shared" si="2"/>
        <v>37047.651717000001</v>
      </c>
      <c r="F9" s="630">
        <f t="shared" si="3"/>
        <v>35545.314308999994</v>
      </c>
      <c r="G9" s="629">
        <f t="shared" si="4"/>
        <v>37937.565430999995</v>
      </c>
      <c r="H9" s="629">
        <f t="shared" si="5"/>
        <v>36448.251125000003</v>
      </c>
      <c r="I9" s="629">
        <f t="shared" si="6"/>
        <v>37785.515118000003</v>
      </c>
      <c r="J9" s="630">
        <f t="shared" si="7"/>
        <v>37506.781081000001</v>
      </c>
      <c r="K9" s="629">
        <f t="shared" si="8"/>
        <v>35782.584200999998</v>
      </c>
      <c r="L9" s="630">
        <f t="shared" si="9"/>
        <v>37668.667444999999</v>
      </c>
      <c r="M9" s="629">
        <f t="shared" si="10"/>
        <v>36279.406637</v>
      </c>
      <c r="N9" s="629">
        <f t="shared" si="11"/>
        <v>26704.396140000001</v>
      </c>
      <c r="O9" s="632">
        <f t="shared" si="12"/>
        <v>423718.42500000005</v>
      </c>
    </row>
    <row r="10" spans="1:15" x14ac:dyDescent="0.2">
      <c r="A10" s="602" t="s">
        <v>283</v>
      </c>
      <c r="B10" s="614">
        <v>8.8200000000000001E-2</v>
      </c>
      <c r="C10" s="629">
        <f t="shared" si="0"/>
        <v>262221.239826</v>
      </c>
      <c r="D10" s="630">
        <f t="shared" si="1"/>
        <v>263841.524982</v>
      </c>
      <c r="E10" s="629">
        <f t="shared" si="2"/>
        <v>299780.08086599997</v>
      </c>
      <c r="F10" s="630">
        <f t="shared" si="3"/>
        <v>287623.55248199997</v>
      </c>
      <c r="G10" s="629">
        <f t="shared" si="4"/>
        <v>306981.03403799998</v>
      </c>
      <c r="H10" s="629">
        <f t="shared" si="5"/>
        <v>294929.88524999999</v>
      </c>
      <c r="I10" s="629">
        <f t="shared" si="6"/>
        <v>305750.68196399999</v>
      </c>
      <c r="J10" s="630">
        <f t="shared" si="7"/>
        <v>303495.237738</v>
      </c>
      <c r="K10" s="629">
        <f t="shared" si="8"/>
        <v>289543.479498</v>
      </c>
      <c r="L10" s="630">
        <f t="shared" si="9"/>
        <v>304805.18060999998</v>
      </c>
      <c r="M10" s="629">
        <f t="shared" si="10"/>
        <v>293563.63902599999</v>
      </c>
      <c r="N10" s="629">
        <f t="shared" si="11"/>
        <v>216085.11372000002</v>
      </c>
      <c r="O10" s="632">
        <f t="shared" si="12"/>
        <v>3428620.6500000004</v>
      </c>
    </row>
    <row r="11" spans="1:15" x14ac:dyDescent="0.2">
      <c r="A11" s="602" t="s">
        <v>150</v>
      </c>
      <c r="B11" s="614">
        <v>6.6299999999999998E-2</v>
      </c>
      <c r="C11" s="629">
        <f t="shared" si="0"/>
        <v>197111.88435900002</v>
      </c>
      <c r="D11" s="630">
        <f t="shared" si="1"/>
        <v>198329.85381299997</v>
      </c>
      <c r="E11" s="629">
        <f t="shared" si="2"/>
        <v>225344.89071899999</v>
      </c>
      <c r="F11" s="630">
        <f t="shared" si="3"/>
        <v>216206.82006299999</v>
      </c>
      <c r="G11" s="629">
        <f t="shared" si="4"/>
        <v>230757.85211699997</v>
      </c>
      <c r="H11" s="629">
        <f t="shared" si="5"/>
        <v>221698.995375</v>
      </c>
      <c r="I11" s="629">
        <f t="shared" si="6"/>
        <v>229832.99562599999</v>
      </c>
      <c r="J11" s="630">
        <f t="shared" si="7"/>
        <v>228137.57666699999</v>
      </c>
      <c r="K11" s="629">
        <f t="shared" si="8"/>
        <v>217650.03050699999</v>
      </c>
      <c r="L11" s="630">
        <f t="shared" si="9"/>
        <v>229122.26161499997</v>
      </c>
      <c r="M11" s="629">
        <f t="shared" si="10"/>
        <v>220671.98715900001</v>
      </c>
      <c r="N11" s="629">
        <f t="shared" si="11"/>
        <v>162431.32698000001</v>
      </c>
      <c r="O11" s="632">
        <f t="shared" si="12"/>
        <v>2577296.4749999992</v>
      </c>
    </row>
    <row r="12" spans="1:15" x14ac:dyDescent="0.2">
      <c r="A12" s="602" t="s">
        <v>284</v>
      </c>
      <c r="B12" s="614">
        <v>3.2199999999999999E-2</v>
      </c>
      <c r="C12" s="629">
        <f t="shared" si="0"/>
        <v>95731.563746</v>
      </c>
      <c r="D12" s="630">
        <f t="shared" si="1"/>
        <v>96323.096421999988</v>
      </c>
      <c r="E12" s="629">
        <f t="shared" si="2"/>
        <v>109443.52158599999</v>
      </c>
      <c r="F12" s="630">
        <f t="shared" si="3"/>
        <v>105005.42392199999</v>
      </c>
      <c r="G12" s="629">
        <f t="shared" si="4"/>
        <v>112072.44099799999</v>
      </c>
      <c r="H12" s="629">
        <f t="shared" si="5"/>
        <v>107672.81525</v>
      </c>
      <c r="I12" s="629">
        <f t="shared" si="6"/>
        <v>111623.264844</v>
      </c>
      <c r="J12" s="630">
        <f t="shared" si="7"/>
        <v>110799.84869799999</v>
      </c>
      <c r="K12" s="629">
        <f t="shared" si="8"/>
        <v>105706.34965800001</v>
      </c>
      <c r="L12" s="630">
        <f t="shared" si="9"/>
        <v>111278.08180999999</v>
      </c>
      <c r="M12" s="629">
        <f t="shared" si="10"/>
        <v>107174.026946</v>
      </c>
      <c r="N12" s="629">
        <f t="shared" si="11"/>
        <v>78888.216119999997</v>
      </c>
      <c r="O12" s="632">
        <f t="shared" si="12"/>
        <v>1251718.6499999999</v>
      </c>
    </row>
    <row r="13" spans="1:15" x14ac:dyDescent="0.2">
      <c r="A13" s="602" t="s">
        <v>152</v>
      </c>
      <c r="B13" s="614">
        <v>1.11E-2</v>
      </c>
      <c r="C13" s="629">
        <f t="shared" si="0"/>
        <v>33000.632223000001</v>
      </c>
      <c r="D13" s="630">
        <f t="shared" si="1"/>
        <v>33204.545660999996</v>
      </c>
      <c r="E13" s="629">
        <f t="shared" si="2"/>
        <v>37727.425143</v>
      </c>
      <c r="F13" s="630">
        <f t="shared" si="3"/>
        <v>36197.521910999996</v>
      </c>
      <c r="G13" s="629">
        <f t="shared" si="4"/>
        <v>38633.667548999998</v>
      </c>
      <c r="H13" s="629">
        <f t="shared" si="5"/>
        <v>37117.026375000001</v>
      </c>
      <c r="I13" s="629">
        <f t="shared" si="6"/>
        <v>38478.827322000005</v>
      </c>
      <c r="J13" s="630">
        <f t="shared" si="7"/>
        <v>38194.978899000002</v>
      </c>
      <c r="K13" s="629">
        <f t="shared" si="8"/>
        <v>36439.145379000001</v>
      </c>
      <c r="L13" s="630">
        <f t="shared" si="9"/>
        <v>38359.835655000003</v>
      </c>
      <c r="M13" s="629">
        <f t="shared" si="10"/>
        <v>36945.083823000001</v>
      </c>
      <c r="N13" s="629">
        <f t="shared" si="11"/>
        <v>27194.385060000001</v>
      </c>
      <c r="O13" s="632">
        <f t="shared" si="12"/>
        <v>431493.07500000001</v>
      </c>
    </row>
    <row r="14" spans="1:15" x14ac:dyDescent="0.2">
      <c r="A14" s="602" t="s">
        <v>153</v>
      </c>
      <c r="B14" s="614">
        <v>2.7099999999999999E-2</v>
      </c>
      <c r="C14" s="629">
        <f t="shared" si="0"/>
        <v>80569.111103000003</v>
      </c>
      <c r="D14" s="630">
        <f t="shared" si="1"/>
        <v>81066.953820999988</v>
      </c>
      <c r="E14" s="629">
        <f t="shared" si="2"/>
        <v>92109.299222999995</v>
      </c>
      <c r="F14" s="630">
        <f t="shared" si="3"/>
        <v>88374.130070999992</v>
      </c>
      <c r="G14" s="629">
        <f t="shared" si="4"/>
        <v>94321.836988999989</v>
      </c>
      <c r="H14" s="629">
        <f t="shared" si="5"/>
        <v>90619.046374999991</v>
      </c>
      <c r="I14" s="629">
        <f t="shared" si="6"/>
        <v>93943.803641999999</v>
      </c>
      <c r="J14" s="630">
        <f t="shared" si="7"/>
        <v>93250.804338999995</v>
      </c>
      <c r="K14" s="629">
        <f t="shared" si="8"/>
        <v>88964.039619000003</v>
      </c>
      <c r="L14" s="630">
        <f t="shared" si="9"/>
        <v>93653.292454999988</v>
      </c>
      <c r="M14" s="629">
        <f t="shared" si="10"/>
        <v>90199.258703</v>
      </c>
      <c r="N14" s="629">
        <f t="shared" si="11"/>
        <v>66393.498659999997</v>
      </c>
      <c r="O14" s="632">
        <f t="shared" si="12"/>
        <v>1053465.075</v>
      </c>
    </row>
    <row r="15" spans="1:15" x14ac:dyDescent="0.2">
      <c r="A15" s="602" t="s">
        <v>154</v>
      </c>
      <c r="B15" s="614">
        <v>1.6899999999999998E-2</v>
      </c>
      <c r="C15" s="629">
        <f t="shared" si="0"/>
        <v>50244.205816999995</v>
      </c>
      <c r="D15" s="630">
        <f t="shared" si="1"/>
        <v>50554.668618999989</v>
      </c>
      <c r="E15" s="629">
        <f t="shared" si="2"/>
        <v>57440.854496999993</v>
      </c>
      <c r="F15" s="630">
        <f t="shared" si="3"/>
        <v>55111.542368999988</v>
      </c>
      <c r="G15" s="629">
        <f t="shared" si="4"/>
        <v>58820.628970999991</v>
      </c>
      <c r="H15" s="629">
        <f t="shared" si="5"/>
        <v>56511.508624999995</v>
      </c>
      <c r="I15" s="629">
        <f t="shared" si="6"/>
        <v>58584.881237999994</v>
      </c>
      <c r="J15" s="630">
        <f t="shared" si="7"/>
        <v>58152.715620999988</v>
      </c>
      <c r="K15" s="629">
        <f t="shared" si="8"/>
        <v>55479.419540999996</v>
      </c>
      <c r="L15" s="630">
        <f t="shared" si="9"/>
        <v>58403.713744999994</v>
      </c>
      <c r="M15" s="629">
        <f t="shared" si="10"/>
        <v>56249.722216999995</v>
      </c>
      <c r="N15" s="629">
        <f t="shared" si="11"/>
        <v>41404.063739999998</v>
      </c>
      <c r="O15" s="632">
        <f t="shared" si="12"/>
        <v>656957.92499999993</v>
      </c>
    </row>
    <row r="16" spans="1:15" x14ac:dyDescent="0.2">
      <c r="A16" s="602" t="s">
        <v>155</v>
      </c>
      <c r="B16" s="614">
        <v>1.2699999999999999E-2</v>
      </c>
      <c r="C16" s="629">
        <f t="shared" si="0"/>
        <v>37757.480110999997</v>
      </c>
      <c r="D16" s="630">
        <f t="shared" si="1"/>
        <v>37990.786476999994</v>
      </c>
      <c r="E16" s="629">
        <f t="shared" si="2"/>
        <v>43165.612550999998</v>
      </c>
      <c r="F16" s="630">
        <f t="shared" si="3"/>
        <v>41415.182726999992</v>
      </c>
      <c r="G16" s="629">
        <f t="shared" si="4"/>
        <v>44202.484492999996</v>
      </c>
      <c r="H16" s="629">
        <f t="shared" si="5"/>
        <v>42467.228374999999</v>
      </c>
      <c r="I16" s="629">
        <f t="shared" si="6"/>
        <v>44025.324953999996</v>
      </c>
      <c r="J16" s="630">
        <f t="shared" si="7"/>
        <v>43700.561442999999</v>
      </c>
      <c r="K16" s="629">
        <f t="shared" si="8"/>
        <v>41691.634803000001</v>
      </c>
      <c r="L16" s="630">
        <f t="shared" si="9"/>
        <v>43889.181334999994</v>
      </c>
      <c r="M16" s="629">
        <f t="shared" si="10"/>
        <v>42270.501311</v>
      </c>
      <c r="N16" s="629">
        <f t="shared" si="11"/>
        <v>31114.296419999999</v>
      </c>
      <c r="O16" s="632">
        <f t="shared" si="12"/>
        <v>493690.27500000002</v>
      </c>
    </row>
    <row r="17" spans="1:17" x14ac:dyDescent="0.2">
      <c r="A17" s="602" t="s">
        <v>156</v>
      </c>
      <c r="B17" s="614">
        <v>3.39E-2</v>
      </c>
      <c r="C17" s="629">
        <f t="shared" si="0"/>
        <v>100785.71462700001</v>
      </c>
      <c r="D17" s="630">
        <f t="shared" si="1"/>
        <v>101408.47728899999</v>
      </c>
      <c r="E17" s="629">
        <f t="shared" si="2"/>
        <v>115221.595707</v>
      </c>
      <c r="F17" s="630">
        <f t="shared" si="3"/>
        <v>110549.188539</v>
      </c>
      <c r="G17" s="629">
        <f t="shared" si="4"/>
        <v>117989.30900099999</v>
      </c>
      <c r="H17" s="629">
        <f t="shared" si="5"/>
        <v>113357.40487499999</v>
      </c>
      <c r="I17" s="629">
        <f t="shared" si="6"/>
        <v>117516.418578</v>
      </c>
      <c r="J17" s="630">
        <f t="shared" si="7"/>
        <v>116649.530151</v>
      </c>
      <c r="K17" s="629">
        <f t="shared" si="8"/>
        <v>111287.11967100001</v>
      </c>
      <c r="L17" s="630">
        <f t="shared" si="9"/>
        <v>117153.01159499999</v>
      </c>
      <c r="M17" s="629">
        <f t="shared" si="10"/>
        <v>112832.283027</v>
      </c>
      <c r="N17" s="629">
        <f t="shared" si="11"/>
        <v>83053.121939999997</v>
      </c>
      <c r="O17" s="632">
        <f t="shared" si="12"/>
        <v>1317803.175</v>
      </c>
    </row>
    <row r="18" spans="1:17" x14ac:dyDescent="0.2">
      <c r="A18" s="602" t="s">
        <v>157</v>
      </c>
      <c r="B18" s="614">
        <v>2.2100000000000002E-2</v>
      </c>
      <c r="C18" s="629">
        <f t="shared" si="0"/>
        <v>65703.961453000011</v>
      </c>
      <c r="D18" s="630">
        <f t="shared" si="1"/>
        <v>66109.951270999998</v>
      </c>
      <c r="E18" s="629">
        <f t="shared" si="2"/>
        <v>75114.963573000001</v>
      </c>
      <c r="F18" s="630">
        <f t="shared" si="3"/>
        <v>72068.940021000002</v>
      </c>
      <c r="G18" s="629">
        <f t="shared" si="4"/>
        <v>76919.284039000006</v>
      </c>
      <c r="H18" s="629">
        <f t="shared" si="5"/>
        <v>73899.665125</v>
      </c>
      <c r="I18" s="629">
        <f t="shared" si="6"/>
        <v>76610.998542000001</v>
      </c>
      <c r="J18" s="630">
        <f t="shared" si="7"/>
        <v>76045.858888999996</v>
      </c>
      <c r="K18" s="629">
        <f t="shared" si="8"/>
        <v>72550.010169000001</v>
      </c>
      <c r="L18" s="630">
        <f t="shared" si="9"/>
        <v>76374.087205000003</v>
      </c>
      <c r="M18" s="629">
        <f t="shared" si="10"/>
        <v>73557.329053000009</v>
      </c>
      <c r="N18" s="629">
        <f t="shared" si="11"/>
        <v>54143.775660000007</v>
      </c>
      <c r="O18" s="632">
        <f t="shared" si="12"/>
        <v>859098.82499999995</v>
      </c>
    </row>
    <row r="19" spans="1:17" x14ac:dyDescent="0.2">
      <c r="A19" s="602" t="s">
        <v>158</v>
      </c>
      <c r="B19" s="614">
        <v>3.95E-2</v>
      </c>
      <c r="C19" s="629">
        <f t="shared" si="0"/>
        <v>117434.68223500001</v>
      </c>
      <c r="D19" s="630">
        <f t="shared" si="1"/>
        <v>118160.32014499999</v>
      </c>
      <c r="E19" s="629">
        <f t="shared" si="2"/>
        <v>134255.25163499999</v>
      </c>
      <c r="F19" s="630">
        <f t="shared" si="3"/>
        <v>128811.001395</v>
      </c>
      <c r="G19" s="629">
        <f t="shared" si="4"/>
        <v>137480.168305</v>
      </c>
      <c r="H19" s="629">
        <f t="shared" si="5"/>
        <v>132083.111875</v>
      </c>
      <c r="I19" s="629">
        <f t="shared" si="6"/>
        <v>136929.16029</v>
      </c>
      <c r="J19" s="630">
        <f t="shared" si="7"/>
        <v>135919.069055</v>
      </c>
      <c r="K19" s="629">
        <f t="shared" si="8"/>
        <v>129670.83265500001</v>
      </c>
      <c r="L19" s="630">
        <f t="shared" si="9"/>
        <v>136505.721475</v>
      </c>
      <c r="M19" s="629">
        <f t="shared" si="10"/>
        <v>131471.24423500002</v>
      </c>
      <c r="N19" s="629">
        <f t="shared" si="11"/>
        <v>96772.811700000006</v>
      </c>
      <c r="O19" s="632">
        <f t="shared" si="12"/>
        <v>1535493.375</v>
      </c>
    </row>
    <row r="20" spans="1:17" x14ac:dyDescent="0.2">
      <c r="A20" s="602" t="s">
        <v>285</v>
      </c>
      <c r="B20" s="614">
        <v>7.4999999999999997E-3</v>
      </c>
      <c r="C20" s="629">
        <f t="shared" si="0"/>
        <v>22297.724474999999</v>
      </c>
      <c r="D20" s="630">
        <f t="shared" si="1"/>
        <v>22435.503824999996</v>
      </c>
      <c r="E20" s="629">
        <f t="shared" si="2"/>
        <v>25491.503474999998</v>
      </c>
      <c r="F20" s="630">
        <f t="shared" si="3"/>
        <v>24457.785074999996</v>
      </c>
      <c r="G20" s="629">
        <f t="shared" si="4"/>
        <v>26103.829424999996</v>
      </c>
      <c r="H20" s="629">
        <f t="shared" si="5"/>
        <v>25079.071874999998</v>
      </c>
      <c r="I20" s="629">
        <f t="shared" si="6"/>
        <v>25999.20765</v>
      </c>
      <c r="J20" s="630">
        <f t="shared" si="7"/>
        <v>25807.418174999999</v>
      </c>
      <c r="K20" s="629">
        <f t="shared" si="8"/>
        <v>24621.044174999999</v>
      </c>
      <c r="L20" s="630">
        <f t="shared" si="9"/>
        <v>25918.807874999999</v>
      </c>
      <c r="M20" s="629">
        <f t="shared" si="10"/>
        <v>24962.894475000001</v>
      </c>
      <c r="N20" s="629">
        <f t="shared" si="11"/>
        <v>18374.584500000001</v>
      </c>
      <c r="O20" s="632">
        <f t="shared" si="12"/>
        <v>291549.37499999994</v>
      </c>
    </row>
    <row r="21" spans="1:17" x14ac:dyDescent="0.2">
      <c r="A21" s="602" t="s">
        <v>286</v>
      </c>
      <c r="B21" s="614">
        <v>2.2800000000000001E-2</v>
      </c>
      <c r="C21" s="629">
        <f t="shared" si="0"/>
        <v>67785.082404000001</v>
      </c>
      <c r="D21" s="630">
        <f t="shared" si="1"/>
        <v>68203.931627999991</v>
      </c>
      <c r="E21" s="629">
        <f t="shared" si="2"/>
        <v>77494.170564</v>
      </c>
      <c r="F21" s="630">
        <f t="shared" si="3"/>
        <v>74351.666627999992</v>
      </c>
      <c r="G21" s="629">
        <f t="shared" si="4"/>
        <v>79355.641451999996</v>
      </c>
      <c r="H21" s="629">
        <f t="shared" si="5"/>
        <v>76240.378500000006</v>
      </c>
      <c r="I21" s="629">
        <f t="shared" si="6"/>
        <v>79037.591256</v>
      </c>
      <c r="J21" s="630">
        <f t="shared" si="7"/>
        <v>78454.551252000005</v>
      </c>
      <c r="K21" s="629">
        <f t="shared" si="8"/>
        <v>74847.974291999999</v>
      </c>
      <c r="L21" s="630">
        <f t="shared" si="9"/>
        <v>78793.175940000001</v>
      </c>
      <c r="M21" s="629">
        <f t="shared" si="10"/>
        <v>75887.199204000004</v>
      </c>
      <c r="N21" s="629">
        <f t="shared" si="11"/>
        <v>55858.736880000004</v>
      </c>
      <c r="O21" s="632">
        <f t="shared" si="12"/>
        <v>886310.09999999986</v>
      </c>
    </row>
    <row r="22" spans="1:17" x14ac:dyDescent="0.2">
      <c r="A22" s="602" t="s">
        <v>287</v>
      </c>
      <c r="B22" s="614">
        <v>8.8800000000000004E-2</v>
      </c>
      <c r="C22" s="629">
        <f t="shared" si="0"/>
        <v>264005.057784</v>
      </c>
      <c r="D22" s="630">
        <f t="shared" si="1"/>
        <v>265636.36528799997</v>
      </c>
      <c r="E22" s="629">
        <f t="shared" si="2"/>
        <v>301819.401144</v>
      </c>
      <c r="F22" s="630">
        <f t="shared" si="3"/>
        <v>289580.17528799997</v>
      </c>
      <c r="G22" s="629">
        <f t="shared" si="4"/>
        <v>309069.34039199998</v>
      </c>
      <c r="H22" s="629">
        <f t="shared" si="5"/>
        <v>296936.21100000001</v>
      </c>
      <c r="I22" s="629">
        <f t="shared" si="6"/>
        <v>307830.61857600004</v>
      </c>
      <c r="J22" s="630">
        <f t="shared" si="7"/>
        <v>305559.83119200001</v>
      </c>
      <c r="K22" s="629">
        <f t="shared" si="8"/>
        <v>291513.16303200001</v>
      </c>
      <c r="L22" s="630">
        <f t="shared" si="9"/>
        <v>306878.68524000002</v>
      </c>
      <c r="M22" s="629">
        <f t="shared" si="10"/>
        <v>295560.67058400001</v>
      </c>
      <c r="N22" s="629">
        <f t="shared" si="11"/>
        <v>217555.08048</v>
      </c>
      <c r="O22" s="632">
        <f t="shared" si="12"/>
        <v>3451944.6</v>
      </c>
    </row>
    <row r="23" spans="1:17" x14ac:dyDescent="0.2">
      <c r="A23" s="602" t="s">
        <v>162</v>
      </c>
      <c r="B23" s="614">
        <v>3.9199999999999999E-2</v>
      </c>
      <c r="C23" s="629">
        <f t="shared" si="0"/>
        <v>116542.773256</v>
      </c>
      <c r="D23" s="630">
        <f t="shared" si="1"/>
        <v>117262.89999199999</v>
      </c>
      <c r="E23" s="629">
        <f t="shared" si="2"/>
        <v>133235.59149599998</v>
      </c>
      <c r="F23" s="630">
        <f t="shared" si="3"/>
        <v>127832.68999199999</v>
      </c>
      <c r="G23" s="629">
        <f t="shared" si="4"/>
        <v>136436.015128</v>
      </c>
      <c r="H23" s="629">
        <f t="shared" si="5"/>
        <v>131079.94899999999</v>
      </c>
      <c r="I23" s="629">
        <f t="shared" si="6"/>
        <v>135889.191984</v>
      </c>
      <c r="J23" s="630">
        <f t="shared" si="7"/>
        <v>134886.77232799999</v>
      </c>
      <c r="K23" s="629">
        <f t="shared" si="8"/>
        <v>128685.990888</v>
      </c>
      <c r="L23" s="630">
        <f t="shared" si="9"/>
        <v>135468.96915999998</v>
      </c>
      <c r="M23" s="629">
        <f t="shared" si="10"/>
        <v>130472.728456</v>
      </c>
      <c r="N23" s="629">
        <f t="shared" si="11"/>
        <v>96037.828320000001</v>
      </c>
      <c r="O23" s="632">
        <f t="shared" si="12"/>
        <v>1523831.4</v>
      </c>
    </row>
    <row r="24" spans="1:17" x14ac:dyDescent="0.2">
      <c r="A24" s="602" t="s">
        <v>163</v>
      </c>
      <c r="B24" s="842">
        <v>0.35420000000000001</v>
      </c>
      <c r="C24" s="629">
        <f t="shared" si="0"/>
        <v>1053047.2012060001</v>
      </c>
      <c r="D24" s="630">
        <f t="shared" si="1"/>
        <v>1059554.0606420001</v>
      </c>
      <c r="E24" s="629">
        <f t="shared" si="2"/>
        <v>1203878.7374460001</v>
      </c>
      <c r="F24" s="630">
        <f t="shared" si="3"/>
        <v>1155059.6631419999</v>
      </c>
      <c r="G24" s="629">
        <f t="shared" si="4"/>
        <v>1232796.8509780001</v>
      </c>
      <c r="H24" s="629">
        <f t="shared" si="5"/>
        <v>1184400.9677500001</v>
      </c>
      <c r="I24" s="629">
        <f t="shared" si="6"/>
        <v>1227855.913284</v>
      </c>
      <c r="J24" s="630">
        <f t="shared" si="7"/>
        <v>1218798.335678</v>
      </c>
      <c r="K24" s="629">
        <f t="shared" si="8"/>
        <v>1162769.8462380001</v>
      </c>
      <c r="L24" s="630">
        <f t="shared" si="9"/>
        <v>1224058.8999099999</v>
      </c>
      <c r="M24" s="629">
        <f t="shared" si="10"/>
        <v>1178914.2964060002</v>
      </c>
      <c r="N24" s="629">
        <f t="shared" si="11"/>
        <v>867770.37732000009</v>
      </c>
      <c r="O24" s="632">
        <f t="shared" si="12"/>
        <v>13768905.15</v>
      </c>
      <c r="Q24" s="606"/>
    </row>
    <row r="25" spans="1:17" x14ac:dyDescent="0.2">
      <c r="A25" s="602" t="s">
        <v>164</v>
      </c>
      <c r="B25" s="842">
        <v>0.03</v>
      </c>
      <c r="C25" s="629">
        <f t="shared" si="0"/>
        <v>89190.897899999996</v>
      </c>
      <c r="D25" s="630">
        <f t="shared" si="1"/>
        <v>89742.015299999985</v>
      </c>
      <c r="E25" s="629">
        <f t="shared" si="2"/>
        <v>101966.01389999999</v>
      </c>
      <c r="F25" s="630">
        <f t="shared" si="3"/>
        <v>97831.140299999985</v>
      </c>
      <c r="G25" s="629">
        <f t="shared" si="4"/>
        <v>104415.31769999999</v>
      </c>
      <c r="H25" s="629">
        <f t="shared" si="5"/>
        <v>100316.28749999999</v>
      </c>
      <c r="I25" s="629">
        <f t="shared" si="6"/>
        <v>103996.8306</v>
      </c>
      <c r="J25" s="630">
        <f t="shared" si="7"/>
        <v>103229.6727</v>
      </c>
      <c r="K25" s="629">
        <f t="shared" si="8"/>
        <v>98484.176699999996</v>
      </c>
      <c r="L25" s="630">
        <f t="shared" si="9"/>
        <v>103675.23149999999</v>
      </c>
      <c r="M25" s="629">
        <f t="shared" si="10"/>
        <v>99851.577900000004</v>
      </c>
      <c r="N25" s="629">
        <f t="shared" si="11"/>
        <v>73498.338000000003</v>
      </c>
      <c r="O25" s="632">
        <f t="shared" si="12"/>
        <v>1166197.4999999998</v>
      </c>
      <c r="Q25" s="606"/>
    </row>
    <row r="26" spans="1:17" ht="13.5" thickBot="1" x14ac:dyDescent="0.25">
      <c r="A26" s="602" t="s">
        <v>165</v>
      </c>
      <c r="B26" s="615">
        <v>4.5199999999999997E-2</v>
      </c>
      <c r="C26" s="629">
        <f t="shared" si="0"/>
        <v>134380.95283600001</v>
      </c>
      <c r="D26" s="630">
        <f t="shared" si="1"/>
        <v>135211.30305199997</v>
      </c>
      <c r="E26" s="629">
        <f t="shared" si="2"/>
        <v>153628.79427599997</v>
      </c>
      <c r="F26" s="630">
        <f t="shared" si="3"/>
        <v>147398.91805199999</v>
      </c>
      <c r="G26" s="629">
        <f t="shared" si="4"/>
        <v>157319.07866799997</v>
      </c>
      <c r="H26" s="629">
        <f t="shared" si="5"/>
        <v>151143.2065</v>
      </c>
      <c r="I26" s="635">
        <f t="shared" si="6"/>
        <v>156688.558104</v>
      </c>
      <c r="J26" s="630">
        <f t="shared" si="7"/>
        <v>155532.70686799998</v>
      </c>
      <c r="K26" s="629">
        <f t="shared" si="8"/>
        <v>148382.82622799999</v>
      </c>
      <c r="L26" s="630">
        <f t="shared" si="9"/>
        <v>156204.01546</v>
      </c>
      <c r="M26" s="629">
        <f t="shared" si="10"/>
        <v>150443.04403600001</v>
      </c>
      <c r="N26" s="629">
        <f t="shared" si="11"/>
        <v>110737.49592</v>
      </c>
      <c r="O26" s="632">
        <f t="shared" si="12"/>
        <v>1757070.9</v>
      </c>
    </row>
    <row r="27" spans="1:17" ht="13.5" thickBot="1" x14ac:dyDescent="0.25">
      <c r="A27" s="607" t="s">
        <v>288</v>
      </c>
      <c r="B27" s="608">
        <f t="shared" ref="B27:O27" si="13">SUM(B7:B26)</f>
        <v>1</v>
      </c>
      <c r="C27" s="637">
        <f>'X22.55 POE'!B50</f>
        <v>2973029.93</v>
      </c>
      <c r="D27" s="637">
        <f>'X22.55 POE'!C50</f>
        <v>2991400.51</v>
      </c>
      <c r="E27" s="637">
        <f>'X22.55 POE'!D50</f>
        <v>3398867.13</v>
      </c>
      <c r="F27" s="637">
        <f>'X22.55 POE'!E50</f>
        <v>3261038.01</v>
      </c>
      <c r="G27" s="637">
        <f>'X22.55 POE'!F50</f>
        <v>3480510.59</v>
      </c>
      <c r="H27" s="637">
        <f>'X22.55 POE'!G50</f>
        <v>3343876.25</v>
      </c>
      <c r="I27" s="637">
        <f>'X22.55 POE'!H50</f>
        <v>3466561.02</v>
      </c>
      <c r="J27" s="637">
        <f>'X22.55 POE'!I50</f>
        <v>3440989.09</v>
      </c>
      <c r="K27" s="637">
        <f>'X22.55 POE'!J50</f>
        <v>3282805.89</v>
      </c>
      <c r="L27" s="637">
        <f>'X22.55 POE'!K50</f>
        <v>3455841.05</v>
      </c>
      <c r="M27" s="637">
        <f>'X22.55 POE'!L50</f>
        <v>3328385.93</v>
      </c>
      <c r="N27" s="637">
        <f>'X22.55 POE'!M50</f>
        <v>2449944.6</v>
      </c>
      <c r="O27" s="637">
        <f t="shared" si="13"/>
        <v>38873250</v>
      </c>
    </row>
    <row r="28" spans="1:17" x14ac:dyDescent="0.2">
      <c r="A28" s="610"/>
      <c r="B28" s="610"/>
      <c r="C28" s="610"/>
      <c r="D28" s="610"/>
      <c r="E28" s="610"/>
      <c r="F28" s="610"/>
      <c r="G28" s="610"/>
      <c r="H28" s="610"/>
      <c r="I28" s="610"/>
      <c r="J28" s="610"/>
      <c r="K28" s="610"/>
      <c r="L28" s="610"/>
      <c r="M28" s="610"/>
      <c r="N28" s="610"/>
      <c r="O28" s="610"/>
    </row>
    <row r="29" spans="1:17" x14ac:dyDescent="0.2">
      <c r="A29" s="611"/>
    </row>
    <row r="30" spans="1:17" x14ac:dyDescent="0.2">
      <c r="A30" s="597" t="s">
        <v>353</v>
      </c>
      <c r="C30" s="606">
        <f>'X22.55 POE'!B52</f>
        <v>5344299.3680413878</v>
      </c>
      <c r="D30" s="606">
        <f>'X22.55 POE'!C52</f>
        <v>5048188.4818867184</v>
      </c>
      <c r="E30" s="606">
        <f>'X22.55 POE'!D52</f>
        <v>4802095.1182062514</v>
      </c>
      <c r="F30" s="606">
        <f>'X22.55 POE'!E52</f>
        <v>4445601.5901103122</v>
      </c>
      <c r="G30" s="606">
        <f>'X22.55 POE'!F52</f>
        <v>5138281.0518607078</v>
      </c>
      <c r="H30" s="606">
        <f>'X22.55 POE'!G52</f>
        <v>4965849.6307085222</v>
      </c>
      <c r="I30" s="606">
        <f>'X22.55 POE'!H52</f>
        <v>5146404.0465981467</v>
      </c>
      <c r="J30" s="606">
        <f>'X22.55 POE'!I52</f>
        <v>4951818.8664919995</v>
      </c>
      <c r="K30" s="606">
        <f>'X22.55 POE'!J52</f>
        <v>5047265.2920325957</v>
      </c>
      <c r="L30" s="606">
        <f>'X22.55 POE'!K52</f>
        <v>5037665.1935285572</v>
      </c>
      <c r="M30" s="606">
        <f>'X22.55 POE'!L52</f>
        <v>4831818.3883767184</v>
      </c>
      <c r="N30" s="606">
        <f>'X22.55 POE'!M52</f>
        <v>5005357.422158082</v>
      </c>
      <c r="O30" s="606">
        <f>SUM(C30:N30)</f>
        <v>59764644.45000001</v>
      </c>
    </row>
    <row r="31" spans="1:17" x14ac:dyDescent="0.2">
      <c r="A31" s="597" t="s">
        <v>345</v>
      </c>
      <c r="C31" s="606">
        <f>C30-C27</f>
        <v>2371269.4380413876</v>
      </c>
      <c r="D31" s="606">
        <f t="shared" ref="D31:O31" si="14">D30-D27</f>
        <v>2056787.9718867186</v>
      </c>
      <c r="E31" s="606">
        <f t="shared" si="14"/>
        <v>1403227.9882062515</v>
      </c>
      <c r="F31" s="606">
        <f t="shared" si="14"/>
        <v>1184563.5801103124</v>
      </c>
      <c r="G31" s="606">
        <f t="shared" si="14"/>
        <v>1657770.461860708</v>
      </c>
      <c r="H31" s="606">
        <f t="shared" si="14"/>
        <v>1621973.3807085222</v>
      </c>
      <c r="I31" s="606">
        <f t="shared" si="14"/>
        <v>1679843.0265981467</v>
      </c>
      <c r="J31" s="606">
        <f t="shared" si="14"/>
        <v>1510829.7764919996</v>
      </c>
      <c r="K31" s="606">
        <f t="shared" si="14"/>
        <v>1764459.4020325956</v>
      </c>
      <c r="L31" s="606">
        <f t="shared" si="14"/>
        <v>1581824.1435285574</v>
      </c>
      <c r="M31" s="606">
        <f t="shared" si="14"/>
        <v>1503432.4583767182</v>
      </c>
      <c r="N31" s="606">
        <f t="shared" si="14"/>
        <v>2555412.8221580819</v>
      </c>
      <c r="O31" s="606">
        <f t="shared" si="14"/>
        <v>20891394.45000001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workbookViewId="0">
      <selection activeCell="C27" sqref="C27"/>
    </sheetView>
  </sheetViews>
  <sheetFormatPr baseColWidth="10" defaultRowHeight="12.75" x14ac:dyDescent="0.2"/>
  <cols>
    <col min="1" max="1" width="16.85546875" style="597" customWidth="1"/>
    <col min="2" max="2" width="9.28515625" style="597" bestFit="1" customWidth="1"/>
    <col min="3" max="5" width="11.7109375" style="597" bestFit="1" customWidth="1"/>
    <col min="6" max="6" width="10.140625" style="597" bestFit="1" customWidth="1"/>
    <col min="7" max="8" width="11.7109375" style="597" bestFit="1" customWidth="1"/>
    <col min="9" max="10" width="11.85546875" style="597" bestFit="1" customWidth="1"/>
    <col min="11" max="11" width="10.140625" style="597" bestFit="1" customWidth="1"/>
    <col min="12" max="14" width="11.85546875" style="597" bestFit="1" customWidth="1"/>
    <col min="15" max="15" width="13.140625"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407</v>
      </c>
      <c r="B4" s="1255"/>
      <c r="C4" s="1255"/>
      <c r="D4" s="1255"/>
      <c r="E4" s="1255"/>
      <c r="F4" s="1255"/>
      <c r="G4" s="1255"/>
      <c r="H4" s="1255"/>
      <c r="I4" s="1255"/>
      <c r="J4" s="1255"/>
      <c r="K4" s="1255"/>
      <c r="L4" s="1255"/>
      <c r="M4" s="1255"/>
      <c r="N4" s="1255"/>
      <c r="O4" s="1255"/>
    </row>
    <row r="5" spans="1:15" ht="13.5" thickBot="1" x14ac:dyDescent="0.25">
      <c r="A5" s="841"/>
      <c r="B5" s="841"/>
      <c r="C5" s="841"/>
      <c r="D5" s="841"/>
      <c r="E5" s="841"/>
      <c r="F5" s="841"/>
      <c r="G5" s="841"/>
      <c r="H5" s="841"/>
      <c r="I5" s="841"/>
      <c r="J5" s="841"/>
      <c r="K5" s="841"/>
      <c r="L5" s="841"/>
      <c r="M5" s="841"/>
      <c r="N5" s="841"/>
      <c r="O5" s="841"/>
    </row>
    <row r="6" spans="1:15" ht="34.5" thickBot="1" x14ac:dyDescent="0.25">
      <c r="A6" s="598" t="s">
        <v>341</v>
      </c>
      <c r="B6" s="599" t="s">
        <v>348</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838">
        <v>5</v>
      </c>
      <c r="C7" s="629">
        <f>$C$27*B7/100</f>
        <v>55929.518024999357</v>
      </c>
      <c r="D7" s="630">
        <f>$D$27*B7/100</f>
        <v>170361.04756140322</v>
      </c>
      <c r="E7" s="629">
        <f>$E$27*B7/100</f>
        <v>39639.567189804889</v>
      </c>
      <c r="F7" s="630">
        <f>$F$27*B7/100</f>
        <v>24588.499471331535</v>
      </c>
      <c r="G7" s="629">
        <f>$G$27*B7/100</f>
        <v>41930.481082750448</v>
      </c>
      <c r="H7" s="629">
        <f>$H$27*B7/100</f>
        <v>40678.780750218684</v>
      </c>
      <c r="I7" s="631">
        <f>$I$27*B7/100</f>
        <v>45572.922428827274</v>
      </c>
      <c r="J7" s="630">
        <f>$J$27*B7/100</f>
        <v>52393.789464434478</v>
      </c>
      <c r="K7" s="629">
        <f>$K$27*B7/100</f>
        <v>60218.77334934604</v>
      </c>
      <c r="L7" s="630">
        <f>$L$27*B7/100</f>
        <v>56788.900672168464</v>
      </c>
      <c r="M7" s="629">
        <f>$M$27*B7/100</f>
        <v>51824.35277087448</v>
      </c>
      <c r="N7" s="629">
        <f>$N$27*B7/100</f>
        <v>51157.26723384083</v>
      </c>
      <c r="O7" s="632">
        <f>SUM(C7:N7)</f>
        <v>691083.89999999967</v>
      </c>
    </row>
    <row r="8" spans="1:15" x14ac:dyDescent="0.2">
      <c r="A8" s="602" t="s">
        <v>147</v>
      </c>
      <c r="B8" s="839">
        <v>5</v>
      </c>
      <c r="C8" s="629">
        <f t="shared" ref="C8:C26" si="0">$C$27*B8/100</f>
        <v>55929.518024999357</v>
      </c>
      <c r="D8" s="630">
        <f t="shared" ref="D8:D26" si="1">$D$27*B8/100</f>
        <v>170361.04756140322</v>
      </c>
      <c r="E8" s="629">
        <f t="shared" ref="E8:E26" si="2">$E$27*B8/100</f>
        <v>39639.567189804889</v>
      </c>
      <c r="F8" s="630">
        <f t="shared" ref="F8:F26" si="3">$F$27*B8/100</f>
        <v>24588.499471331535</v>
      </c>
      <c r="G8" s="629">
        <f t="shared" ref="G8:G26" si="4">$G$27*B8/100</f>
        <v>41930.481082750448</v>
      </c>
      <c r="H8" s="629">
        <f t="shared" ref="H8:H26" si="5">$H$27*B8/100</f>
        <v>40678.780750218684</v>
      </c>
      <c r="I8" s="629">
        <f t="shared" ref="I8:I26" si="6">$I$27*B8/100</f>
        <v>45572.922428827274</v>
      </c>
      <c r="J8" s="630">
        <f t="shared" ref="J8:J26" si="7">$J$27*B8/100</f>
        <v>52393.789464434478</v>
      </c>
      <c r="K8" s="629">
        <f t="shared" ref="K8:K26" si="8">$K$27*B8/100</f>
        <v>60218.77334934604</v>
      </c>
      <c r="L8" s="630">
        <f t="shared" ref="L8:L26" si="9">$L$27*B8/100</f>
        <v>56788.900672168464</v>
      </c>
      <c r="M8" s="629">
        <f t="shared" ref="M8:M26" si="10">$M$27*B8/100</f>
        <v>51824.35277087448</v>
      </c>
      <c r="N8" s="629">
        <f t="shared" ref="N8:N26" si="11">$N$27*B8/100</f>
        <v>51157.26723384083</v>
      </c>
      <c r="O8" s="632">
        <f t="shared" ref="O8:O26" si="12">SUM(C8:N8)</f>
        <v>691083.89999999967</v>
      </c>
    </row>
    <row r="9" spans="1:15" x14ac:dyDescent="0.2">
      <c r="A9" s="602" t="s">
        <v>148</v>
      </c>
      <c r="B9" s="839">
        <v>5</v>
      </c>
      <c r="C9" s="629">
        <f t="shared" si="0"/>
        <v>55929.518024999357</v>
      </c>
      <c r="D9" s="630">
        <f t="shared" si="1"/>
        <v>170361.04756140322</v>
      </c>
      <c r="E9" s="629">
        <f t="shared" si="2"/>
        <v>39639.567189804889</v>
      </c>
      <c r="F9" s="630">
        <f t="shared" si="3"/>
        <v>24588.499471331535</v>
      </c>
      <c r="G9" s="629">
        <f t="shared" si="4"/>
        <v>41930.481082750448</v>
      </c>
      <c r="H9" s="629">
        <f t="shared" si="5"/>
        <v>40678.780750218684</v>
      </c>
      <c r="I9" s="629">
        <f t="shared" si="6"/>
        <v>45572.922428827274</v>
      </c>
      <c r="J9" s="630">
        <f t="shared" si="7"/>
        <v>52393.789464434478</v>
      </c>
      <c r="K9" s="629">
        <f t="shared" si="8"/>
        <v>60218.77334934604</v>
      </c>
      <c r="L9" s="630">
        <f t="shared" si="9"/>
        <v>56788.900672168464</v>
      </c>
      <c r="M9" s="629">
        <f t="shared" si="10"/>
        <v>51824.35277087448</v>
      </c>
      <c r="N9" s="629">
        <f t="shared" si="11"/>
        <v>51157.26723384083</v>
      </c>
      <c r="O9" s="632">
        <f t="shared" si="12"/>
        <v>691083.89999999967</v>
      </c>
    </row>
    <row r="10" spans="1:15" x14ac:dyDescent="0.2">
      <c r="A10" s="602" t="s">
        <v>283</v>
      </c>
      <c r="B10" s="839">
        <v>5</v>
      </c>
      <c r="C10" s="629">
        <f t="shared" si="0"/>
        <v>55929.518024999357</v>
      </c>
      <c r="D10" s="630">
        <f t="shared" si="1"/>
        <v>170361.04756140322</v>
      </c>
      <c r="E10" s="629">
        <f t="shared" si="2"/>
        <v>39639.567189804889</v>
      </c>
      <c r="F10" s="630">
        <f t="shared" si="3"/>
        <v>24588.499471331535</v>
      </c>
      <c r="G10" s="629">
        <f t="shared" si="4"/>
        <v>41930.481082750448</v>
      </c>
      <c r="H10" s="629">
        <f t="shared" si="5"/>
        <v>40678.780750218684</v>
      </c>
      <c r="I10" s="629">
        <f t="shared" si="6"/>
        <v>45572.922428827274</v>
      </c>
      <c r="J10" s="630">
        <f t="shared" si="7"/>
        <v>52393.789464434478</v>
      </c>
      <c r="K10" s="629">
        <f t="shared" si="8"/>
        <v>60218.77334934604</v>
      </c>
      <c r="L10" s="630">
        <f t="shared" si="9"/>
        <v>56788.900672168464</v>
      </c>
      <c r="M10" s="629">
        <f t="shared" si="10"/>
        <v>51824.35277087448</v>
      </c>
      <c r="N10" s="629">
        <f t="shared" si="11"/>
        <v>51157.26723384083</v>
      </c>
      <c r="O10" s="632">
        <f t="shared" si="12"/>
        <v>691083.89999999967</v>
      </c>
    </row>
    <row r="11" spans="1:15" x14ac:dyDescent="0.2">
      <c r="A11" s="602" t="s">
        <v>150</v>
      </c>
      <c r="B11" s="839">
        <v>5</v>
      </c>
      <c r="C11" s="629">
        <f t="shared" si="0"/>
        <v>55929.518024999357</v>
      </c>
      <c r="D11" s="630">
        <f t="shared" si="1"/>
        <v>170361.04756140322</v>
      </c>
      <c r="E11" s="629">
        <f t="shared" si="2"/>
        <v>39639.567189804889</v>
      </c>
      <c r="F11" s="630">
        <f t="shared" si="3"/>
        <v>24588.499471331535</v>
      </c>
      <c r="G11" s="629">
        <f t="shared" si="4"/>
        <v>41930.481082750448</v>
      </c>
      <c r="H11" s="629">
        <f t="shared" si="5"/>
        <v>40678.780750218684</v>
      </c>
      <c r="I11" s="629">
        <f t="shared" si="6"/>
        <v>45572.922428827274</v>
      </c>
      <c r="J11" s="630">
        <f t="shared" si="7"/>
        <v>52393.789464434478</v>
      </c>
      <c r="K11" s="629">
        <f t="shared" si="8"/>
        <v>60218.77334934604</v>
      </c>
      <c r="L11" s="630">
        <f t="shared" si="9"/>
        <v>56788.900672168464</v>
      </c>
      <c r="M11" s="629">
        <f t="shared" si="10"/>
        <v>51824.35277087448</v>
      </c>
      <c r="N11" s="629">
        <f t="shared" si="11"/>
        <v>51157.26723384083</v>
      </c>
      <c r="O11" s="632">
        <f t="shared" si="12"/>
        <v>691083.89999999967</v>
      </c>
    </row>
    <row r="12" spans="1:15" x14ac:dyDescent="0.2">
      <c r="A12" s="602" t="s">
        <v>284</v>
      </c>
      <c r="B12" s="839">
        <v>5</v>
      </c>
      <c r="C12" s="629">
        <f t="shared" si="0"/>
        <v>55929.518024999357</v>
      </c>
      <c r="D12" s="630">
        <f t="shared" si="1"/>
        <v>170361.04756140322</v>
      </c>
      <c r="E12" s="629">
        <f t="shared" si="2"/>
        <v>39639.567189804889</v>
      </c>
      <c r="F12" s="630">
        <f t="shared" si="3"/>
        <v>24588.499471331535</v>
      </c>
      <c r="G12" s="629">
        <f t="shared" si="4"/>
        <v>41930.481082750448</v>
      </c>
      <c r="H12" s="629">
        <f t="shared" si="5"/>
        <v>40678.780750218684</v>
      </c>
      <c r="I12" s="629">
        <f t="shared" si="6"/>
        <v>45572.922428827274</v>
      </c>
      <c r="J12" s="630">
        <f t="shared" si="7"/>
        <v>52393.789464434478</v>
      </c>
      <c r="K12" s="629">
        <f t="shared" si="8"/>
        <v>60218.77334934604</v>
      </c>
      <c r="L12" s="630">
        <f t="shared" si="9"/>
        <v>56788.900672168464</v>
      </c>
      <c r="M12" s="629">
        <f t="shared" si="10"/>
        <v>51824.35277087448</v>
      </c>
      <c r="N12" s="629">
        <f t="shared" si="11"/>
        <v>51157.26723384083</v>
      </c>
      <c r="O12" s="632">
        <f t="shared" si="12"/>
        <v>691083.89999999967</v>
      </c>
    </row>
    <row r="13" spans="1:15" x14ac:dyDescent="0.2">
      <c r="A13" s="602" t="s">
        <v>152</v>
      </c>
      <c r="B13" s="839">
        <v>5</v>
      </c>
      <c r="C13" s="629">
        <f t="shared" si="0"/>
        <v>55929.518024999357</v>
      </c>
      <c r="D13" s="630">
        <f t="shared" si="1"/>
        <v>170361.04756140322</v>
      </c>
      <c r="E13" s="629">
        <f t="shared" si="2"/>
        <v>39639.567189804889</v>
      </c>
      <c r="F13" s="630">
        <f t="shared" si="3"/>
        <v>24588.499471331535</v>
      </c>
      <c r="G13" s="629">
        <f t="shared" si="4"/>
        <v>41930.481082750448</v>
      </c>
      <c r="H13" s="629">
        <f t="shared" si="5"/>
        <v>40678.780750218684</v>
      </c>
      <c r="I13" s="629">
        <f t="shared" si="6"/>
        <v>45572.922428827274</v>
      </c>
      <c r="J13" s="630">
        <f t="shared" si="7"/>
        <v>52393.789464434478</v>
      </c>
      <c r="K13" s="629">
        <f t="shared" si="8"/>
        <v>60218.77334934604</v>
      </c>
      <c r="L13" s="630">
        <f t="shared" si="9"/>
        <v>56788.900672168464</v>
      </c>
      <c r="M13" s="629">
        <f t="shared" si="10"/>
        <v>51824.35277087448</v>
      </c>
      <c r="N13" s="629">
        <f t="shared" si="11"/>
        <v>51157.26723384083</v>
      </c>
      <c r="O13" s="632">
        <f t="shared" si="12"/>
        <v>691083.89999999967</v>
      </c>
    </row>
    <row r="14" spans="1:15" x14ac:dyDescent="0.2">
      <c r="A14" s="602" t="s">
        <v>153</v>
      </c>
      <c r="B14" s="839">
        <v>5</v>
      </c>
      <c r="C14" s="629">
        <f t="shared" si="0"/>
        <v>55929.518024999357</v>
      </c>
      <c r="D14" s="630">
        <f t="shared" si="1"/>
        <v>170361.04756140322</v>
      </c>
      <c r="E14" s="629">
        <f t="shared" si="2"/>
        <v>39639.567189804889</v>
      </c>
      <c r="F14" s="630">
        <f t="shared" si="3"/>
        <v>24588.499471331535</v>
      </c>
      <c r="G14" s="629">
        <f t="shared" si="4"/>
        <v>41930.481082750448</v>
      </c>
      <c r="H14" s="629">
        <f t="shared" si="5"/>
        <v>40678.780750218684</v>
      </c>
      <c r="I14" s="629">
        <f t="shared" si="6"/>
        <v>45572.922428827274</v>
      </c>
      <c r="J14" s="630">
        <f t="shared" si="7"/>
        <v>52393.789464434478</v>
      </c>
      <c r="K14" s="629">
        <f t="shared" si="8"/>
        <v>60218.77334934604</v>
      </c>
      <c r="L14" s="630">
        <f t="shared" si="9"/>
        <v>56788.900672168464</v>
      </c>
      <c r="M14" s="629">
        <f t="shared" si="10"/>
        <v>51824.35277087448</v>
      </c>
      <c r="N14" s="629">
        <f t="shared" si="11"/>
        <v>51157.26723384083</v>
      </c>
      <c r="O14" s="632">
        <f t="shared" si="12"/>
        <v>691083.89999999967</v>
      </c>
    </row>
    <row r="15" spans="1:15" x14ac:dyDescent="0.2">
      <c r="A15" s="602" t="s">
        <v>154</v>
      </c>
      <c r="B15" s="839">
        <v>5</v>
      </c>
      <c r="C15" s="629">
        <f t="shared" si="0"/>
        <v>55929.518024999357</v>
      </c>
      <c r="D15" s="630">
        <f t="shared" si="1"/>
        <v>170361.04756140322</v>
      </c>
      <c r="E15" s="629">
        <f t="shared" si="2"/>
        <v>39639.567189804889</v>
      </c>
      <c r="F15" s="630">
        <f t="shared" si="3"/>
        <v>24588.499471331535</v>
      </c>
      <c r="G15" s="629">
        <f t="shared" si="4"/>
        <v>41930.481082750448</v>
      </c>
      <c r="H15" s="629">
        <f t="shared" si="5"/>
        <v>40678.780750218684</v>
      </c>
      <c r="I15" s="629">
        <f t="shared" si="6"/>
        <v>45572.922428827274</v>
      </c>
      <c r="J15" s="630">
        <f t="shared" si="7"/>
        <v>52393.789464434478</v>
      </c>
      <c r="K15" s="629">
        <f t="shared" si="8"/>
        <v>60218.77334934604</v>
      </c>
      <c r="L15" s="630">
        <f t="shared" si="9"/>
        <v>56788.900672168464</v>
      </c>
      <c r="M15" s="629">
        <f t="shared" si="10"/>
        <v>51824.35277087448</v>
      </c>
      <c r="N15" s="629">
        <f t="shared" si="11"/>
        <v>51157.26723384083</v>
      </c>
      <c r="O15" s="632">
        <f t="shared" si="12"/>
        <v>691083.89999999967</v>
      </c>
    </row>
    <row r="16" spans="1:15" x14ac:dyDescent="0.2">
      <c r="A16" s="602" t="s">
        <v>155</v>
      </c>
      <c r="B16" s="839">
        <v>5</v>
      </c>
      <c r="C16" s="629">
        <f t="shared" si="0"/>
        <v>55929.518024999357</v>
      </c>
      <c r="D16" s="630">
        <f t="shared" si="1"/>
        <v>170361.04756140322</v>
      </c>
      <c r="E16" s="629">
        <f t="shared" si="2"/>
        <v>39639.567189804889</v>
      </c>
      <c r="F16" s="630">
        <f t="shared" si="3"/>
        <v>24588.499471331535</v>
      </c>
      <c r="G16" s="629">
        <f t="shared" si="4"/>
        <v>41930.481082750448</v>
      </c>
      <c r="H16" s="629">
        <f t="shared" si="5"/>
        <v>40678.780750218684</v>
      </c>
      <c r="I16" s="629">
        <f t="shared" si="6"/>
        <v>45572.922428827274</v>
      </c>
      <c r="J16" s="630">
        <f t="shared" si="7"/>
        <v>52393.789464434478</v>
      </c>
      <c r="K16" s="629">
        <f t="shared" si="8"/>
        <v>60218.77334934604</v>
      </c>
      <c r="L16" s="630">
        <f t="shared" si="9"/>
        <v>56788.900672168464</v>
      </c>
      <c r="M16" s="629">
        <f t="shared" si="10"/>
        <v>51824.35277087448</v>
      </c>
      <c r="N16" s="629">
        <f t="shared" si="11"/>
        <v>51157.26723384083</v>
      </c>
      <c r="O16" s="632">
        <f t="shared" si="12"/>
        <v>691083.89999999967</v>
      </c>
    </row>
    <row r="17" spans="1:15" x14ac:dyDescent="0.2">
      <c r="A17" s="602" t="s">
        <v>156</v>
      </c>
      <c r="B17" s="839">
        <v>5</v>
      </c>
      <c r="C17" s="629">
        <f t="shared" si="0"/>
        <v>55929.518024999357</v>
      </c>
      <c r="D17" s="630">
        <f t="shared" si="1"/>
        <v>170361.04756140322</v>
      </c>
      <c r="E17" s="629">
        <f t="shared" si="2"/>
        <v>39639.567189804889</v>
      </c>
      <c r="F17" s="630">
        <f t="shared" si="3"/>
        <v>24588.499471331535</v>
      </c>
      <c r="G17" s="629">
        <f t="shared" si="4"/>
        <v>41930.481082750448</v>
      </c>
      <c r="H17" s="629">
        <f t="shared" si="5"/>
        <v>40678.780750218684</v>
      </c>
      <c r="I17" s="629">
        <f t="shared" si="6"/>
        <v>45572.922428827274</v>
      </c>
      <c r="J17" s="630">
        <f t="shared" si="7"/>
        <v>52393.789464434478</v>
      </c>
      <c r="K17" s="629">
        <f t="shared" si="8"/>
        <v>60218.77334934604</v>
      </c>
      <c r="L17" s="630">
        <f t="shared" si="9"/>
        <v>56788.900672168464</v>
      </c>
      <c r="M17" s="629">
        <f t="shared" si="10"/>
        <v>51824.35277087448</v>
      </c>
      <c r="N17" s="629">
        <f t="shared" si="11"/>
        <v>51157.26723384083</v>
      </c>
      <c r="O17" s="632">
        <f t="shared" si="12"/>
        <v>691083.89999999967</v>
      </c>
    </row>
    <row r="18" spans="1:15" x14ac:dyDescent="0.2">
      <c r="A18" s="602" t="s">
        <v>157</v>
      </c>
      <c r="B18" s="839">
        <v>5</v>
      </c>
      <c r="C18" s="629">
        <f t="shared" si="0"/>
        <v>55929.518024999357</v>
      </c>
      <c r="D18" s="630">
        <f t="shared" si="1"/>
        <v>170361.04756140322</v>
      </c>
      <c r="E18" s="629">
        <f t="shared" si="2"/>
        <v>39639.567189804889</v>
      </c>
      <c r="F18" s="630">
        <f t="shared" si="3"/>
        <v>24588.499471331535</v>
      </c>
      <c r="G18" s="629">
        <f t="shared" si="4"/>
        <v>41930.481082750448</v>
      </c>
      <c r="H18" s="629">
        <f t="shared" si="5"/>
        <v>40678.780750218684</v>
      </c>
      <c r="I18" s="629">
        <f t="shared" si="6"/>
        <v>45572.922428827274</v>
      </c>
      <c r="J18" s="630">
        <f t="shared" si="7"/>
        <v>52393.789464434478</v>
      </c>
      <c r="K18" s="629">
        <f t="shared" si="8"/>
        <v>60218.77334934604</v>
      </c>
      <c r="L18" s="630">
        <f t="shared" si="9"/>
        <v>56788.900672168464</v>
      </c>
      <c r="M18" s="629">
        <f t="shared" si="10"/>
        <v>51824.35277087448</v>
      </c>
      <c r="N18" s="629">
        <f t="shared" si="11"/>
        <v>51157.26723384083</v>
      </c>
      <c r="O18" s="632">
        <f t="shared" si="12"/>
        <v>691083.89999999967</v>
      </c>
    </row>
    <row r="19" spans="1:15" x14ac:dyDescent="0.2">
      <c r="A19" s="602" t="s">
        <v>158</v>
      </c>
      <c r="B19" s="839">
        <v>5</v>
      </c>
      <c r="C19" s="629">
        <f t="shared" si="0"/>
        <v>55929.518024999357</v>
      </c>
      <c r="D19" s="630">
        <f t="shared" si="1"/>
        <v>170361.04756140322</v>
      </c>
      <c r="E19" s="629">
        <f t="shared" si="2"/>
        <v>39639.567189804889</v>
      </c>
      <c r="F19" s="630">
        <f t="shared" si="3"/>
        <v>24588.499471331535</v>
      </c>
      <c r="G19" s="629">
        <f t="shared" si="4"/>
        <v>41930.481082750448</v>
      </c>
      <c r="H19" s="629">
        <f t="shared" si="5"/>
        <v>40678.780750218684</v>
      </c>
      <c r="I19" s="629">
        <f t="shared" si="6"/>
        <v>45572.922428827274</v>
      </c>
      <c r="J19" s="630">
        <f t="shared" si="7"/>
        <v>52393.789464434478</v>
      </c>
      <c r="K19" s="629">
        <f t="shared" si="8"/>
        <v>60218.77334934604</v>
      </c>
      <c r="L19" s="630">
        <f t="shared" si="9"/>
        <v>56788.900672168464</v>
      </c>
      <c r="M19" s="629">
        <f t="shared" si="10"/>
        <v>51824.35277087448</v>
      </c>
      <c r="N19" s="629">
        <f t="shared" si="11"/>
        <v>51157.26723384083</v>
      </c>
      <c r="O19" s="632">
        <f t="shared" si="12"/>
        <v>691083.89999999967</v>
      </c>
    </row>
    <row r="20" spans="1:15" x14ac:dyDescent="0.2">
      <c r="A20" s="602" t="s">
        <v>285</v>
      </c>
      <c r="B20" s="839">
        <v>5</v>
      </c>
      <c r="C20" s="629">
        <f t="shared" si="0"/>
        <v>55929.518024999357</v>
      </c>
      <c r="D20" s="630">
        <f t="shared" si="1"/>
        <v>170361.04756140322</v>
      </c>
      <c r="E20" s="629">
        <f t="shared" si="2"/>
        <v>39639.567189804889</v>
      </c>
      <c r="F20" s="630">
        <f t="shared" si="3"/>
        <v>24588.499471331535</v>
      </c>
      <c r="G20" s="629">
        <f t="shared" si="4"/>
        <v>41930.481082750448</v>
      </c>
      <c r="H20" s="629">
        <f t="shared" si="5"/>
        <v>40678.780750218684</v>
      </c>
      <c r="I20" s="629">
        <f t="shared" si="6"/>
        <v>45572.922428827274</v>
      </c>
      <c r="J20" s="630">
        <f t="shared" si="7"/>
        <v>52393.789464434478</v>
      </c>
      <c r="K20" s="629">
        <f t="shared" si="8"/>
        <v>60218.77334934604</v>
      </c>
      <c r="L20" s="630">
        <f t="shared" si="9"/>
        <v>56788.900672168464</v>
      </c>
      <c r="M20" s="629">
        <f t="shared" si="10"/>
        <v>51824.35277087448</v>
      </c>
      <c r="N20" s="629">
        <f t="shared" si="11"/>
        <v>51157.26723384083</v>
      </c>
      <c r="O20" s="632">
        <f t="shared" si="12"/>
        <v>691083.89999999967</v>
      </c>
    </row>
    <row r="21" spans="1:15" x14ac:dyDescent="0.2">
      <c r="A21" s="602" t="s">
        <v>286</v>
      </c>
      <c r="B21" s="839">
        <v>5</v>
      </c>
      <c r="C21" s="629">
        <f t="shared" si="0"/>
        <v>55929.518024999357</v>
      </c>
      <c r="D21" s="630">
        <f t="shared" si="1"/>
        <v>170361.04756140322</v>
      </c>
      <c r="E21" s="629">
        <f t="shared" si="2"/>
        <v>39639.567189804889</v>
      </c>
      <c r="F21" s="630">
        <f t="shared" si="3"/>
        <v>24588.499471331535</v>
      </c>
      <c r="G21" s="629">
        <f t="shared" si="4"/>
        <v>41930.481082750448</v>
      </c>
      <c r="H21" s="629">
        <f t="shared" si="5"/>
        <v>40678.780750218684</v>
      </c>
      <c r="I21" s="629">
        <f t="shared" si="6"/>
        <v>45572.922428827274</v>
      </c>
      <c r="J21" s="630">
        <f t="shared" si="7"/>
        <v>52393.789464434478</v>
      </c>
      <c r="K21" s="629">
        <f t="shared" si="8"/>
        <v>60218.77334934604</v>
      </c>
      <c r="L21" s="630">
        <f t="shared" si="9"/>
        <v>56788.900672168464</v>
      </c>
      <c r="M21" s="629">
        <f t="shared" si="10"/>
        <v>51824.35277087448</v>
      </c>
      <c r="N21" s="629">
        <f t="shared" si="11"/>
        <v>51157.26723384083</v>
      </c>
      <c r="O21" s="632">
        <f t="shared" si="12"/>
        <v>691083.89999999967</v>
      </c>
    </row>
    <row r="22" spans="1:15" x14ac:dyDescent="0.2">
      <c r="A22" s="602" t="s">
        <v>287</v>
      </c>
      <c r="B22" s="839">
        <v>5</v>
      </c>
      <c r="C22" s="629">
        <f t="shared" si="0"/>
        <v>55929.518024999357</v>
      </c>
      <c r="D22" s="630">
        <f t="shared" si="1"/>
        <v>170361.04756140322</v>
      </c>
      <c r="E22" s="629">
        <f t="shared" si="2"/>
        <v>39639.567189804889</v>
      </c>
      <c r="F22" s="630">
        <f t="shared" si="3"/>
        <v>24588.499471331535</v>
      </c>
      <c r="G22" s="629">
        <f t="shared" si="4"/>
        <v>41930.481082750448</v>
      </c>
      <c r="H22" s="629">
        <f t="shared" si="5"/>
        <v>40678.780750218684</v>
      </c>
      <c r="I22" s="629">
        <f t="shared" si="6"/>
        <v>45572.922428827274</v>
      </c>
      <c r="J22" s="630">
        <f t="shared" si="7"/>
        <v>52393.789464434478</v>
      </c>
      <c r="K22" s="629">
        <f t="shared" si="8"/>
        <v>60218.77334934604</v>
      </c>
      <c r="L22" s="630">
        <f t="shared" si="9"/>
        <v>56788.900672168464</v>
      </c>
      <c r="M22" s="629">
        <f t="shared" si="10"/>
        <v>51824.35277087448</v>
      </c>
      <c r="N22" s="629">
        <f t="shared" si="11"/>
        <v>51157.26723384083</v>
      </c>
      <c r="O22" s="632">
        <f t="shared" si="12"/>
        <v>691083.89999999967</v>
      </c>
    </row>
    <row r="23" spans="1:15" x14ac:dyDescent="0.2">
      <c r="A23" s="602" t="s">
        <v>162</v>
      </c>
      <c r="B23" s="839">
        <v>5</v>
      </c>
      <c r="C23" s="629">
        <f t="shared" si="0"/>
        <v>55929.518024999357</v>
      </c>
      <c r="D23" s="630">
        <f t="shared" si="1"/>
        <v>170361.04756140322</v>
      </c>
      <c r="E23" s="629">
        <f t="shared" si="2"/>
        <v>39639.567189804889</v>
      </c>
      <c r="F23" s="630">
        <f t="shared" si="3"/>
        <v>24588.499471331535</v>
      </c>
      <c r="G23" s="629">
        <f t="shared" si="4"/>
        <v>41930.481082750448</v>
      </c>
      <c r="H23" s="629">
        <f t="shared" si="5"/>
        <v>40678.780750218684</v>
      </c>
      <c r="I23" s="629">
        <f t="shared" si="6"/>
        <v>45572.922428827274</v>
      </c>
      <c r="J23" s="630">
        <f t="shared" si="7"/>
        <v>52393.789464434478</v>
      </c>
      <c r="K23" s="629">
        <f t="shared" si="8"/>
        <v>60218.77334934604</v>
      </c>
      <c r="L23" s="630">
        <f t="shared" si="9"/>
        <v>56788.900672168464</v>
      </c>
      <c r="M23" s="629">
        <f t="shared" si="10"/>
        <v>51824.35277087448</v>
      </c>
      <c r="N23" s="629">
        <f t="shared" si="11"/>
        <v>51157.26723384083</v>
      </c>
      <c r="O23" s="632">
        <f t="shared" si="12"/>
        <v>691083.89999999967</v>
      </c>
    </row>
    <row r="24" spans="1:15" x14ac:dyDescent="0.2">
      <c r="A24" s="602" t="s">
        <v>163</v>
      </c>
      <c r="B24" s="839">
        <v>5</v>
      </c>
      <c r="C24" s="629">
        <f t="shared" si="0"/>
        <v>55929.518024999357</v>
      </c>
      <c r="D24" s="630">
        <f t="shared" si="1"/>
        <v>170361.04756140322</v>
      </c>
      <c r="E24" s="629">
        <f t="shared" si="2"/>
        <v>39639.567189804889</v>
      </c>
      <c r="F24" s="630">
        <f t="shared" si="3"/>
        <v>24588.499471331535</v>
      </c>
      <c r="G24" s="629">
        <f t="shared" si="4"/>
        <v>41930.481082750448</v>
      </c>
      <c r="H24" s="629">
        <f t="shared" si="5"/>
        <v>40678.780750218684</v>
      </c>
      <c r="I24" s="629">
        <f t="shared" si="6"/>
        <v>45572.922428827274</v>
      </c>
      <c r="J24" s="630">
        <f t="shared" si="7"/>
        <v>52393.789464434478</v>
      </c>
      <c r="K24" s="629">
        <f t="shared" si="8"/>
        <v>60218.77334934604</v>
      </c>
      <c r="L24" s="630">
        <f t="shared" si="9"/>
        <v>56788.900672168464</v>
      </c>
      <c r="M24" s="629">
        <f t="shared" si="10"/>
        <v>51824.35277087448</v>
      </c>
      <c r="N24" s="629">
        <f t="shared" si="11"/>
        <v>51157.26723384083</v>
      </c>
      <c r="O24" s="632">
        <f t="shared" si="12"/>
        <v>691083.89999999967</v>
      </c>
    </row>
    <row r="25" spans="1:15" x14ac:dyDescent="0.2">
      <c r="A25" s="602" t="s">
        <v>164</v>
      </c>
      <c r="B25" s="839">
        <v>5</v>
      </c>
      <c r="C25" s="629">
        <f t="shared" si="0"/>
        <v>55929.518024999357</v>
      </c>
      <c r="D25" s="630">
        <f t="shared" si="1"/>
        <v>170361.04756140322</v>
      </c>
      <c r="E25" s="629">
        <f t="shared" si="2"/>
        <v>39639.567189804889</v>
      </c>
      <c r="F25" s="630">
        <f t="shared" si="3"/>
        <v>24588.499471331535</v>
      </c>
      <c r="G25" s="629">
        <f t="shared" si="4"/>
        <v>41930.481082750448</v>
      </c>
      <c r="H25" s="629">
        <f t="shared" si="5"/>
        <v>40678.780750218684</v>
      </c>
      <c r="I25" s="629">
        <f t="shared" si="6"/>
        <v>45572.922428827274</v>
      </c>
      <c r="J25" s="630">
        <f t="shared" si="7"/>
        <v>52393.789464434478</v>
      </c>
      <c r="K25" s="629">
        <f t="shared" si="8"/>
        <v>60218.77334934604</v>
      </c>
      <c r="L25" s="630">
        <f t="shared" si="9"/>
        <v>56788.900672168464</v>
      </c>
      <c r="M25" s="629">
        <f t="shared" si="10"/>
        <v>51824.35277087448</v>
      </c>
      <c r="N25" s="629">
        <f t="shared" si="11"/>
        <v>51157.26723384083</v>
      </c>
      <c r="O25" s="632">
        <f t="shared" si="12"/>
        <v>691083.89999999967</v>
      </c>
    </row>
    <row r="26" spans="1:15" ht="13.5" thickBot="1" x14ac:dyDescent="0.25">
      <c r="A26" s="602" t="s">
        <v>165</v>
      </c>
      <c r="B26" s="840">
        <v>5</v>
      </c>
      <c r="C26" s="629">
        <f t="shared" si="0"/>
        <v>55929.518024999357</v>
      </c>
      <c r="D26" s="630">
        <f t="shared" si="1"/>
        <v>170361.04756140322</v>
      </c>
      <c r="E26" s="629">
        <f t="shared" si="2"/>
        <v>39639.567189804889</v>
      </c>
      <c r="F26" s="630">
        <f t="shared" si="3"/>
        <v>24588.499471331535</v>
      </c>
      <c r="G26" s="629">
        <f t="shared" si="4"/>
        <v>41930.481082750448</v>
      </c>
      <c r="H26" s="629">
        <f t="shared" si="5"/>
        <v>40678.780750218684</v>
      </c>
      <c r="I26" s="635">
        <f t="shared" si="6"/>
        <v>45572.922428827274</v>
      </c>
      <c r="J26" s="630">
        <f t="shared" si="7"/>
        <v>52393.789464434478</v>
      </c>
      <c r="K26" s="629">
        <f t="shared" si="8"/>
        <v>60218.77334934604</v>
      </c>
      <c r="L26" s="630">
        <f t="shared" si="9"/>
        <v>56788.900672168464</v>
      </c>
      <c r="M26" s="629">
        <f t="shared" si="10"/>
        <v>51824.35277087448</v>
      </c>
      <c r="N26" s="629">
        <f t="shared" si="11"/>
        <v>51157.26723384083</v>
      </c>
      <c r="O26" s="632">
        <f t="shared" si="12"/>
        <v>691083.89999999967</v>
      </c>
    </row>
    <row r="27" spans="1:15" ht="13.5" thickBot="1" x14ac:dyDescent="0.25">
      <c r="A27" s="607" t="s">
        <v>288</v>
      </c>
      <c r="B27" s="608">
        <f>SUM(B7:B26)</f>
        <v>100</v>
      </c>
      <c r="C27" s="637">
        <f>'X22.55 POE'!B40</f>
        <v>1118590.3604999871</v>
      </c>
      <c r="D27" s="637">
        <f>'X22.55 POE'!C40</f>
        <v>3407220.951228064</v>
      </c>
      <c r="E27" s="637">
        <f>'X22.55 POE'!D40</f>
        <v>792791.34379609791</v>
      </c>
      <c r="F27" s="637">
        <f>'X22.55 POE'!E40</f>
        <v>491769.98942663078</v>
      </c>
      <c r="G27" s="637">
        <f>'X22.55 POE'!F40</f>
        <v>838609.62165500899</v>
      </c>
      <c r="H27" s="637">
        <f>'X22.55 POE'!G40</f>
        <v>813575.61500437371</v>
      </c>
      <c r="I27" s="637">
        <f>'X22.55 POE'!H40</f>
        <v>911458.44857654558</v>
      </c>
      <c r="J27" s="637">
        <f>'X22.55 POE'!I40</f>
        <v>1047875.7892886896</v>
      </c>
      <c r="K27" s="637">
        <f>'X22.55 POE'!J40</f>
        <v>1204375.4669869209</v>
      </c>
      <c r="L27" s="637">
        <f>'X22.55 POE'!K40</f>
        <v>1135778.0134433692</v>
      </c>
      <c r="M27" s="637">
        <f>'X22.55 POE'!L40</f>
        <v>1036487.0554174897</v>
      </c>
      <c r="N27" s="637">
        <f>'X22.55 POE'!M40</f>
        <v>1023145.3446768166</v>
      </c>
      <c r="O27" s="637">
        <f t="shared" ref="O27" si="13">SUM(O7:O26)</f>
        <v>13821677.999999996</v>
      </c>
    </row>
    <row r="28" spans="1:15" hidden="1" x14ac:dyDescent="0.2">
      <c r="A28" s="618" t="s">
        <v>344</v>
      </c>
      <c r="B28" s="618"/>
      <c r="C28" s="619">
        <f>'[3]PRESUPUSTO ESTATAL 2017'!B52</f>
        <v>1521250.4468291907</v>
      </c>
      <c r="D28" s="619">
        <f>'[3]PRESUPUSTO ESTATAL 2017'!C52</f>
        <v>1992155.4322061262</v>
      </c>
      <c r="E28" s="619">
        <f>'[3]PRESUPUSTO ESTATAL 2017'!D52</f>
        <v>1561223.5204092669</v>
      </c>
      <c r="F28" s="619">
        <f>'[3]PRESUPUSTO ESTATAL 2017'!E52</f>
        <v>1709133.4840227321</v>
      </c>
      <c r="G28" s="619">
        <f>'[3]PRESUPUSTO ESTATAL 2017'!F52</f>
        <v>1794276.5472658337</v>
      </c>
      <c r="H28" s="619">
        <f>'[3]PRESUPUSTO ESTATAL 2017'!G52</f>
        <v>1664193.9164477964</v>
      </c>
      <c r="I28" s="619">
        <f>'[3]PRESUPUSTO ESTATAL 2017'!H52</f>
        <v>1722567.8942233375</v>
      </c>
      <c r="J28" s="619">
        <f>'[3]PRESUPUSTO ESTATAL 2017'!I52</f>
        <v>1774773.0179705636</v>
      </c>
      <c r="K28" s="619">
        <f>'[3]PRESUPUSTO ESTATAL 2017'!J52</f>
        <v>1814273.0193366187</v>
      </c>
      <c r="L28" s="619">
        <f>'[3]PRESUPUSTO ESTATAL 2017'!K52</f>
        <v>1772942.0603667807</v>
      </c>
      <c r="M28" s="619">
        <f>'[3]PRESUPUSTO ESTATAL 2017'!L52</f>
        <v>1696337.0334839264</v>
      </c>
      <c r="N28" s="619">
        <f>'[3]PRESUPUSTO ESTATAL 2017'!M52</f>
        <v>1676873.6274378267</v>
      </c>
      <c r="O28" s="619">
        <f>SUM(C28:N28)</f>
        <v>20700000</v>
      </c>
    </row>
    <row r="29" spans="1:15" hidden="1" x14ac:dyDescent="0.2">
      <c r="A29" s="620" t="s">
        <v>345</v>
      </c>
      <c r="B29" s="620"/>
      <c r="C29" s="621">
        <f>C28-C27</f>
        <v>402660.08632920356</v>
      </c>
      <c r="D29" s="621">
        <f t="shared" ref="D29:O29" si="14">D28-D27</f>
        <v>-1415065.5190219379</v>
      </c>
      <c r="E29" s="621">
        <f t="shared" si="14"/>
        <v>768432.17661316902</v>
      </c>
      <c r="F29" s="621">
        <f t="shared" si="14"/>
        <v>1217363.4945961013</v>
      </c>
      <c r="G29" s="621">
        <f t="shared" si="14"/>
        <v>955666.92561082472</v>
      </c>
      <c r="H29" s="621">
        <f t="shared" si="14"/>
        <v>850618.30144342268</v>
      </c>
      <c r="I29" s="621">
        <f t="shared" si="14"/>
        <v>811109.44564679195</v>
      </c>
      <c r="J29" s="621">
        <f t="shared" si="14"/>
        <v>726897.228681874</v>
      </c>
      <c r="K29" s="621">
        <f t="shared" si="14"/>
        <v>609897.5523496978</v>
      </c>
      <c r="L29" s="621">
        <f t="shared" si="14"/>
        <v>637164.04692341154</v>
      </c>
      <c r="M29" s="621">
        <f t="shared" si="14"/>
        <v>659849.97806643671</v>
      </c>
      <c r="N29" s="621">
        <f t="shared" si="14"/>
        <v>653728.28276101011</v>
      </c>
      <c r="O29" s="621">
        <f t="shared" si="14"/>
        <v>6878322.0000000037</v>
      </c>
    </row>
    <row r="30" spans="1:15" x14ac:dyDescent="0.2">
      <c r="A30" s="611" t="s">
        <v>289</v>
      </c>
    </row>
    <row r="32" spans="1:15" x14ac:dyDescent="0.2">
      <c r="A32" s="597" t="s">
        <v>345</v>
      </c>
      <c r="C32" s="638">
        <f>'X22.55 POE'!B40</f>
        <v>1118590.3604999871</v>
      </c>
      <c r="D32" s="638">
        <f>'X22.55 POE'!C40</f>
        <v>3407220.951228064</v>
      </c>
      <c r="E32" s="638">
        <f>'X22.55 POE'!D40</f>
        <v>792791.34379609791</v>
      </c>
      <c r="F32" s="638">
        <f>'X22.55 POE'!E40</f>
        <v>491769.98942663078</v>
      </c>
      <c r="G32" s="638">
        <f>'X22.55 POE'!F40</f>
        <v>838609.62165500899</v>
      </c>
      <c r="H32" s="638">
        <f>'X22.55 POE'!G40</f>
        <v>813575.61500437371</v>
      </c>
      <c r="I32" s="638">
        <f>'X22.55 POE'!H40</f>
        <v>911458.44857654558</v>
      </c>
      <c r="J32" s="638">
        <f>'X22.55 POE'!I40</f>
        <v>1047875.7892886896</v>
      </c>
      <c r="K32" s="638">
        <f>'X22.55 POE'!J40</f>
        <v>1204375.4669869209</v>
      </c>
      <c r="L32" s="638">
        <f>'X22.55 POE'!K40</f>
        <v>1135778.0134433692</v>
      </c>
      <c r="M32" s="638">
        <f>'X22.55 POE'!L40</f>
        <v>1036487.0554174897</v>
      </c>
      <c r="N32" s="638">
        <f>'X22.55 POE'!M40</f>
        <v>1023145.3446768166</v>
      </c>
      <c r="O32" s="638">
        <f>SUM(C32:N32)</f>
        <v>13821677.999999993</v>
      </c>
    </row>
    <row r="34" spans="3:15" x14ac:dyDescent="0.2">
      <c r="C34" s="606"/>
      <c r="D34" s="606"/>
      <c r="E34" s="606"/>
      <c r="F34" s="606"/>
      <c r="G34" s="606"/>
      <c r="H34" s="606"/>
      <c r="I34" s="606"/>
      <c r="J34" s="606"/>
      <c r="K34" s="606"/>
      <c r="L34" s="606"/>
      <c r="M34" s="606"/>
      <c r="N34" s="606"/>
      <c r="O34" s="606"/>
    </row>
    <row r="38" spans="3:15" x14ac:dyDescent="0.2">
      <c r="K38" s="606"/>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7" tint="0.39997558519241921"/>
  </sheetPr>
  <dimension ref="A1:R38"/>
  <sheetViews>
    <sheetView workbookViewId="0">
      <selection activeCell="C27" sqref="C27:N27"/>
    </sheetView>
  </sheetViews>
  <sheetFormatPr baseColWidth="10" defaultRowHeight="12.75" x14ac:dyDescent="0.2"/>
  <cols>
    <col min="1" max="1" width="16.85546875" style="597" customWidth="1"/>
    <col min="2" max="2" width="9.28515625" style="597" bestFit="1" customWidth="1"/>
    <col min="3" max="3" width="12" style="597" bestFit="1" customWidth="1"/>
    <col min="4" max="4" width="14.7109375" style="597" bestFit="1" customWidth="1"/>
    <col min="5" max="8" width="11.7109375" style="597" bestFit="1" customWidth="1"/>
    <col min="9" max="10" width="12" style="597" bestFit="1" customWidth="1"/>
    <col min="11" max="11" width="12.140625" style="597" customWidth="1"/>
    <col min="12" max="14" width="12" style="597" bestFit="1" customWidth="1"/>
    <col min="15" max="15" width="13.140625" style="597" bestFit="1" customWidth="1"/>
    <col min="16" max="17" width="11.42578125" style="597"/>
    <col min="18" max="18" width="12.7109375" style="597" bestFit="1" customWidth="1"/>
    <col min="19"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354</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13">
        <v>3.9399999999999998E-2</v>
      </c>
      <c r="C7" s="629">
        <f>$C$27*B7</f>
        <v>56963.546951054755</v>
      </c>
      <c r="D7" s="629">
        <f>$D$27*B7</f>
        <v>86906.697217008536</v>
      </c>
      <c r="E7" s="629">
        <f>$E$27*B7</f>
        <v>59746.246585840105</v>
      </c>
      <c r="F7" s="629">
        <f>$F$27*B7</f>
        <v>67867.982827057887</v>
      </c>
      <c r="G7" s="629">
        <f>$G$27*B7</f>
        <v>64660.762935787861</v>
      </c>
      <c r="H7" s="629">
        <f>$H$27*B7</f>
        <v>67599.96159390721</v>
      </c>
      <c r="I7" s="629">
        <f>$I$27*B7</f>
        <v>68696.572300394633</v>
      </c>
      <c r="J7" s="629">
        <f>$J$27*B7</f>
        <v>71269.225402021868</v>
      </c>
      <c r="K7" s="629">
        <f>$K$27*B7</f>
        <v>68949.326174828399</v>
      </c>
      <c r="L7" s="629">
        <f>$L$27*B7</f>
        <v>67391.350673871682</v>
      </c>
      <c r="M7" s="629">
        <f>$M$27*B7</f>
        <v>65860.428313614379</v>
      </c>
      <c r="N7" s="629">
        <f>$N$27*B7</f>
        <v>66121.899024612838</v>
      </c>
      <c r="O7" s="632">
        <f>SUM(C7:N7)</f>
        <v>812034</v>
      </c>
    </row>
    <row r="8" spans="1:15" x14ac:dyDescent="0.2">
      <c r="A8" s="602" t="s">
        <v>147</v>
      </c>
      <c r="B8" s="614">
        <v>5.7799999999999997E-2</v>
      </c>
      <c r="C8" s="629">
        <f t="shared" ref="C8:C26" si="0">$C$27*B8</f>
        <v>83565.812532257987</v>
      </c>
      <c r="D8" s="629">
        <f t="shared" ref="D8:D26" si="1">$D$27*B8</f>
        <v>127492.56596809882</v>
      </c>
      <c r="E8" s="629">
        <f t="shared" ref="E8:E26" si="2">$E$27*B8</f>
        <v>87648.047021866951</v>
      </c>
      <c r="F8" s="629">
        <f t="shared" ref="F8:F26" si="3">$F$27*B8</f>
        <v>99562.675314820968</v>
      </c>
      <c r="G8" s="629">
        <f t="shared" ref="G8:G26" si="4">$G$27*B8</f>
        <v>94857.667454023816</v>
      </c>
      <c r="H8" s="629">
        <f t="shared" ref="H8:H26" si="5">$H$27*B8</f>
        <v>99169.486805275053</v>
      </c>
      <c r="I8" s="629">
        <f t="shared" ref="I8:I26" si="6">$I$27*B8</f>
        <v>100778.2202782439</v>
      </c>
      <c r="J8" s="629">
        <f t="shared" ref="J8:J26" si="7">$J$27*B8</f>
        <v>104552.31543748386</v>
      </c>
      <c r="K8" s="629">
        <f t="shared" ref="K8:K26" si="8">$K$27*B8</f>
        <v>101149.01149505284</v>
      </c>
      <c r="L8" s="629">
        <f t="shared" ref="L8:L26" si="9">$L$27*B8</f>
        <v>98863.45352664424</v>
      </c>
      <c r="M8" s="629">
        <f t="shared" ref="M8:M26" si="10">$M$27*B8</f>
        <v>96617.582652967278</v>
      </c>
      <c r="N8" s="629">
        <f t="shared" ref="N8:N26" si="11">$N$27*B8</f>
        <v>97001.161513264524</v>
      </c>
      <c r="O8" s="632">
        <f t="shared" ref="O8:O26" si="12">SUM(C8:N8)</f>
        <v>1191258.0000000002</v>
      </c>
    </row>
    <row r="9" spans="1:15" x14ac:dyDescent="0.2">
      <c r="A9" s="602" t="s">
        <v>148</v>
      </c>
      <c r="B9" s="614">
        <v>6.1199999999999997E-2</v>
      </c>
      <c r="C9" s="629">
        <f t="shared" si="0"/>
        <v>88481.44856356729</v>
      </c>
      <c r="D9" s="629">
        <f t="shared" si="1"/>
        <v>134992.12867210462</v>
      </c>
      <c r="E9" s="629">
        <f t="shared" si="2"/>
        <v>92803.814493741476</v>
      </c>
      <c r="F9" s="629">
        <f t="shared" si="3"/>
        <v>105419.30327451632</v>
      </c>
      <c r="G9" s="629">
        <f t="shared" si="4"/>
        <v>100437.53024543698</v>
      </c>
      <c r="H9" s="629">
        <f t="shared" si="5"/>
        <v>105002.98602911476</v>
      </c>
      <c r="I9" s="629">
        <f t="shared" si="6"/>
        <v>106706.35088284648</v>
      </c>
      <c r="J9" s="629">
        <f t="shared" si="7"/>
        <v>110702.45163968879</v>
      </c>
      <c r="K9" s="629">
        <f t="shared" si="8"/>
        <v>107098.95334770301</v>
      </c>
      <c r="L9" s="629">
        <f t="shared" si="9"/>
        <v>104678.95079291744</v>
      </c>
      <c r="M9" s="629">
        <f t="shared" si="10"/>
        <v>102300.96986784771</v>
      </c>
      <c r="N9" s="629">
        <f t="shared" si="11"/>
        <v>102707.11219051539</v>
      </c>
      <c r="O9" s="632">
        <f t="shared" si="12"/>
        <v>1261332.0000000005</v>
      </c>
    </row>
    <row r="10" spans="1:15" x14ac:dyDescent="0.2">
      <c r="A10" s="602" t="s">
        <v>283</v>
      </c>
      <c r="B10" s="614">
        <v>5.0799999999999998E-2</v>
      </c>
      <c r="C10" s="629">
        <f t="shared" si="0"/>
        <v>73445.385408974151</v>
      </c>
      <c r="D10" s="629">
        <f t="shared" si="1"/>
        <v>112052.28981279273</v>
      </c>
      <c r="E10" s="629">
        <f t="shared" si="2"/>
        <v>77033.231638595869</v>
      </c>
      <c r="F10" s="629">
        <f t="shared" si="3"/>
        <v>87504.911868389361</v>
      </c>
      <c r="G10" s="629">
        <f t="shared" si="4"/>
        <v>83369.714648173191</v>
      </c>
      <c r="H10" s="629">
        <f t="shared" si="5"/>
        <v>87159.341344428598</v>
      </c>
      <c r="I10" s="629">
        <f t="shared" si="6"/>
        <v>88573.245504062113</v>
      </c>
      <c r="J10" s="629">
        <f t="shared" si="7"/>
        <v>91890.270315297239</v>
      </c>
      <c r="K10" s="629">
        <f t="shared" si="8"/>
        <v>88899.131210184845</v>
      </c>
      <c r="L10" s="629">
        <f t="shared" si="9"/>
        <v>86890.370919611203</v>
      </c>
      <c r="M10" s="629">
        <f t="shared" si="10"/>
        <v>84916.491328213466</v>
      </c>
      <c r="N10" s="629">
        <f t="shared" si="11"/>
        <v>85253.616001277478</v>
      </c>
      <c r="O10" s="632">
        <f t="shared" si="12"/>
        <v>1046988.0000000002</v>
      </c>
    </row>
    <row r="11" spans="1:15" x14ac:dyDescent="0.2">
      <c r="A11" s="602" t="s">
        <v>150</v>
      </c>
      <c r="B11" s="614">
        <v>3.0700000000000002E-2</v>
      </c>
      <c r="C11" s="629">
        <f t="shared" si="0"/>
        <v>44385.301812116275</v>
      </c>
      <c r="D11" s="629">
        <f t="shared" si="1"/>
        <v>67716.63970969955</v>
      </c>
      <c r="E11" s="629">
        <f t="shared" si="2"/>
        <v>46553.54746663176</v>
      </c>
      <c r="F11" s="629">
        <f t="shared" si="3"/>
        <v>52881.905400778618</v>
      </c>
      <c r="G11" s="629">
        <f t="shared" si="4"/>
        <v>50382.878734230646</v>
      </c>
      <c r="H11" s="629">
        <f t="shared" si="5"/>
        <v>52673.066521140907</v>
      </c>
      <c r="I11" s="629">
        <f t="shared" si="6"/>
        <v>53527.532223911556</v>
      </c>
      <c r="J11" s="629">
        <f t="shared" si="7"/>
        <v>55532.112178732787</v>
      </c>
      <c r="K11" s="629">
        <f t="shared" si="8"/>
        <v>53724.474963635337</v>
      </c>
      <c r="L11" s="629">
        <f t="shared" si="9"/>
        <v>52510.519433702051</v>
      </c>
      <c r="M11" s="629">
        <f t="shared" si="10"/>
        <v>51317.643381420341</v>
      </c>
      <c r="N11" s="629">
        <f t="shared" si="11"/>
        <v>51521.378174000369</v>
      </c>
      <c r="O11" s="632">
        <f t="shared" si="12"/>
        <v>632727.00000000023</v>
      </c>
    </row>
    <row r="12" spans="1:15" x14ac:dyDescent="0.2">
      <c r="A12" s="602" t="s">
        <v>284</v>
      </c>
      <c r="B12" s="614">
        <v>9.5100000000000004E-2</v>
      </c>
      <c r="C12" s="629">
        <f t="shared" si="0"/>
        <v>137493.23134632761</v>
      </c>
      <c r="D12" s="629">
        <f t="shared" si="1"/>
        <v>209767.18033851555</v>
      </c>
      <c r="E12" s="629">
        <f t="shared" si="2"/>
        <v>144209.84899272575</v>
      </c>
      <c r="F12" s="629">
        <f t="shared" si="3"/>
        <v>163813.32910794939</v>
      </c>
      <c r="G12" s="629">
        <f t="shared" si="4"/>
        <v>156072.0445480565</v>
      </c>
      <c r="H12" s="629">
        <f t="shared" si="5"/>
        <v>163166.40476092836</v>
      </c>
      <c r="I12" s="629">
        <f t="shared" si="6"/>
        <v>165813.30014638399</v>
      </c>
      <c r="J12" s="629">
        <f t="shared" si="7"/>
        <v>172022.92730284977</v>
      </c>
      <c r="K12" s="629">
        <f t="shared" si="8"/>
        <v>166423.37358442086</v>
      </c>
      <c r="L12" s="629">
        <f t="shared" si="9"/>
        <v>162662.87941840602</v>
      </c>
      <c r="M12" s="629">
        <f t="shared" si="10"/>
        <v>158967.68356915552</v>
      </c>
      <c r="N12" s="629">
        <f t="shared" si="11"/>
        <v>159598.79688428127</v>
      </c>
      <c r="O12" s="632">
        <f t="shared" si="12"/>
        <v>1960011.0000000002</v>
      </c>
    </row>
    <row r="13" spans="1:15" x14ac:dyDescent="0.2">
      <c r="A13" s="602" t="s">
        <v>152</v>
      </c>
      <c r="B13" s="614">
        <v>9.3299999999999994E-2</v>
      </c>
      <c r="C13" s="629">
        <f t="shared" si="0"/>
        <v>134890.83580034031</v>
      </c>
      <c r="D13" s="629">
        <f t="shared" si="1"/>
        <v>205796.82361286538</v>
      </c>
      <c r="E13" s="629">
        <f t="shared" si="2"/>
        <v>141480.32503702745</v>
      </c>
      <c r="F13" s="629">
        <f t="shared" si="3"/>
        <v>160712.76136458127</v>
      </c>
      <c r="G13" s="629">
        <f t="shared" si="4"/>
        <v>153117.99954083774</v>
      </c>
      <c r="H13" s="629">
        <f t="shared" si="5"/>
        <v>160078.08164242495</v>
      </c>
      <c r="I13" s="629">
        <f t="shared" si="6"/>
        <v>162674.87806159438</v>
      </c>
      <c r="J13" s="629">
        <f t="shared" si="7"/>
        <v>168766.9728428589</v>
      </c>
      <c r="K13" s="629">
        <f t="shared" si="8"/>
        <v>163273.40436831192</v>
      </c>
      <c r="L13" s="629">
        <f t="shared" si="9"/>
        <v>159584.08674802608</v>
      </c>
      <c r="M13" s="629">
        <f t="shared" si="10"/>
        <v>155958.83151421882</v>
      </c>
      <c r="N13" s="629">
        <f t="shared" si="11"/>
        <v>156577.99946691314</v>
      </c>
      <c r="O13" s="632">
        <f t="shared" si="12"/>
        <v>1922913.0000000002</v>
      </c>
    </row>
    <row r="14" spans="1:15" x14ac:dyDescent="0.2">
      <c r="A14" s="602" t="s">
        <v>153</v>
      </c>
      <c r="B14" s="614">
        <v>4.5199999999999997E-2</v>
      </c>
      <c r="C14" s="629">
        <f t="shared" si="0"/>
        <v>65349.043710347076</v>
      </c>
      <c r="D14" s="629">
        <f t="shared" si="1"/>
        <v>99700.068888547859</v>
      </c>
      <c r="E14" s="629">
        <f t="shared" si="2"/>
        <v>68541.379331978998</v>
      </c>
      <c r="F14" s="629">
        <f t="shared" si="3"/>
        <v>77858.701111244081</v>
      </c>
      <c r="G14" s="629">
        <f t="shared" si="4"/>
        <v>74179.352403492667</v>
      </c>
      <c r="H14" s="629">
        <f t="shared" si="5"/>
        <v>77551.224975751422</v>
      </c>
      <c r="I14" s="629">
        <f t="shared" si="6"/>
        <v>78809.26568471668</v>
      </c>
      <c r="J14" s="629">
        <f t="shared" si="7"/>
        <v>81760.634217547937</v>
      </c>
      <c r="K14" s="629">
        <f t="shared" si="8"/>
        <v>79099.226982290449</v>
      </c>
      <c r="L14" s="629">
        <f t="shared" si="9"/>
        <v>77311.904833984765</v>
      </c>
      <c r="M14" s="629">
        <f t="shared" si="10"/>
        <v>75555.618268410399</v>
      </c>
      <c r="N14" s="629">
        <f t="shared" si="11"/>
        <v>75855.579591687827</v>
      </c>
      <c r="O14" s="632">
        <f t="shared" si="12"/>
        <v>931572.00000000023</v>
      </c>
    </row>
    <row r="15" spans="1:15" x14ac:dyDescent="0.2">
      <c r="A15" s="602" t="s">
        <v>154</v>
      </c>
      <c r="B15" s="614">
        <v>5.0799999999999998E-2</v>
      </c>
      <c r="C15" s="629">
        <f t="shared" si="0"/>
        <v>73445.385408974151</v>
      </c>
      <c r="D15" s="629">
        <f t="shared" si="1"/>
        <v>112052.28981279273</v>
      </c>
      <c r="E15" s="629">
        <f t="shared" si="2"/>
        <v>77033.231638595869</v>
      </c>
      <c r="F15" s="629">
        <f t="shared" si="3"/>
        <v>87504.911868389361</v>
      </c>
      <c r="G15" s="629">
        <f t="shared" si="4"/>
        <v>83369.714648173191</v>
      </c>
      <c r="H15" s="629">
        <f t="shared" si="5"/>
        <v>87159.341344428598</v>
      </c>
      <c r="I15" s="629">
        <f t="shared" si="6"/>
        <v>88573.245504062113</v>
      </c>
      <c r="J15" s="629">
        <f t="shared" si="7"/>
        <v>91890.270315297239</v>
      </c>
      <c r="K15" s="629">
        <f t="shared" si="8"/>
        <v>88899.131210184845</v>
      </c>
      <c r="L15" s="629">
        <f t="shared" si="9"/>
        <v>86890.370919611203</v>
      </c>
      <c r="M15" s="629">
        <f t="shared" si="10"/>
        <v>84916.491328213466</v>
      </c>
      <c r="N15" s="629">
        <f t="shared" si="11"/>
        <v>85253.616001277478</v>
      </c>
      <c r="O15" s="632">
        <f t="shared" si="12"/>
        <v>1046988.0000000002</v>
      </c>
    </row>
    <row r="16" spans="1:15" x14ac:dyDescent="0.2">
      <c r="A16" s="602" t="s">
        <v>155</v>
      </c>
      <c r="B16" s="614">
        <v>8.9200000000000002E-2</v>
      </c>
      <c r="C16" s="629">
        <f t="shared" si="0"/>
        <v>128963.15705670265</v>
      </c>
      <c r="D16" s="629">
        <f t="shared" si="1"/>
        <v>196753.23329332899</v>
      </c>
      <c r="E16" s="629">
        <f t="shared" si="2"/>
        <v>135263.07602682582</v>
      </c>
      <c r="F16" s="629">
        <f t="shared" si="3"/>
        <v>153650.35706024276</v>
      </c>
      <c r="G16" s="629">
        <f t="shared" si="4"/>
        <v>146389.34146883953</v>
      </c>
      <c r="H16" s="629">
        <f t="shared" si="5"/>
        <v>153043.5678725006</v>
      </c>
      <c r="I16" s="629">
        <f t="shared" si="6"/>
        <v>155526.24997957362</v>
      </c>
      <c r="J16" s="629">
        <f t="shared" si="7"/>
        <v>161350.6321284353</v>
      </c>
      <c r="K16" s="629">
        <f t="shared" si="8"/>
        <v>156098.47448717497</v>
      </c>
      <c r="L16" s="629">
        <f t="shared" si="9"/>
        <v>152571.2812210496</v>
      </c>
      <c r="M16" s="629">
        <f t="shared" si="10"/>
        <v>149105.33516686302</v>
      </c>
      <c r="N16" s="629">
        <f t="shared" si="11"/>
        <v>149697.2942384636</v>
      </c>
      <c r="O16" s="632">
        <f t="shared" si="12"/>
        <v>1838412.0000000002</v>
      </c>
    </row>
    <row r="17" spans="1:18" x14ac:dyDescent="0.2">
      <c r="A17" s="602" t="s">
        <v>156</v>
      </c>
      <c r="B17" s="614">
        <v>5.0200000000000002E-2</v>
      </c>
      <c r="C17" s="629">
        <f t="shared" si="0"/>
        <v>72577.9202269784</v>
      </c>
      <c r="D17" s="629">
        <f t="shared" si="1"/>
        <v>110728.83757090935</v>
      </c>
      <c r="E17" s="629">
        <f t="shared" si="2"/>
        <v>76123.390320029779</v>
      </c>
      <c r="F17" s="629">
        <f t="shared" si="3"/>
        <v>86471.389287266662</v>
      </c>
      <c r="G17" s="629">
        <f t="shared" si="4"/>
        <v>82385.032979100273</v>
      </c>
      <c r="H17" s="629">
        <f t="shared" si="5"/>
        <v>86129.900304927476</v>
      </c>
      <c r="I17" s="629">
        <f t="shared" si="6"/>
        <v>87527.104809132245</v>
      </c>
      <c r="J17" s="629">
        <f t="shared" si="7"/>
        <v>90804.952161966954</v>
      </c>
      <c r="K17" s="629">
        <f t="shared" si="8"/>
        <v>87849.141471481882</v>
      </c>
      <c r="L17" s="629">
        <f t="shared" si="9"/>
        <v>85864.106696151241</v>
      </c>
      <c r="M17" s="629">
        <f t="shared" si="10"/>
        <v>83913.540643234563</v>
      </c>
      <c r="N17" s="629">
        <f t="shared" si="11"/>
        <v>84246.68352882145</v>
      </c>
      <c r="O17" s="632">
        <f t="shared" si="12"/>
        <v>1034622.0000000002</v>
      </c>
    </row>
    <row r="18" spans="1:18" x14ac:dyDescent="0.2">
      <c r="A18" s="602" t="s">
        <v>157</v>
      </c>
      <c r="B18" s="614">
        <v>4.2900000000000001E-2</v>
      </c>
      <c r="C18" s="629">
        <f t="shared" si="0"/>
        <v>62023.760512696681</v>
      </c>
      <c r="D18" s="629">
        <f t="shared" si="1"/>
        <v>94626.835294661578</v>
      </c>
      <c r="E18" s="629">
        <f t="shared" si="2"/>
        <v>65053.654277475653</v>
      </c>
      <c r="F18" s="629">
        <f t="shared" si="3"/>
        <v>73896.864550273705</v>
      </c>
      <c r="G18" s="629">
        <f t="shared" si="4"/>
        <v>70404.739338713189</v>
      </c>
      <c r="H18" s="629">
        <f t="shared" si="5"/>
        <v>73605.034324330452</v>
      </c>
      <c r="I18" s="629">
        <f t="shared" si="6"/>
        <v>74799.059687485526</v>
      </c>
      <c r="J18" s="629">
        <f t="shared" si="7"/>
        <v>77600.247963115195</v>
      </c>
      <c r="K18" s="629">
        <f t="shared" si="8"/>
        <v>75074.266317262402</v>
      </c>
      <c r="L18" s="629">
        <f t="shared" si="9"/>
        <v>73377.891977388208</v>
      </c>
      <c r="M18" s="629">
        <f t="shared" si="10"/>
        <v>71710.973975991292</v>
      </c>
      <c r="N18" s="629">
        <f t="shared" si="11"/>
        <v>71995.671780606368</v>
      </c>
      <c r="O18" s="632">
        <f t="shared" si="12"/>
        <v>884169.00000000023</v>
      </c>
    </row>
    <row r="19" spans="1:18" x14ac:dyDescent="0.2">
      <c r="A19" s="602" t="s">
        <v>158</v>
      </c>
      <c r="B19" s="614">
        <v>3.04E-2</v>
      </c>
      <c r="C19" s="629">
        <f t="shared" si="0"/>
        <v>43951.569221118392</v>
      </c>
      <c r="D19" s="629">
        <f t="shared" si="1"/>
        <v>67054.91358875786</v>
      </c>
      <c r="E19" s="629">
        <f t="shared" si="2"/>
        <v>46098.626807348708</v>
      </c>
      <c r="F19" s="629">
        <f t="shared" si="3"/>
        <v>52365.144110217261</v>
      </c>
      <c r="G19" s="629">
        <f t="shared" si="4"/>
        <v>49890.537899694187</v>
      </c>
      <c r="H19" s="629">
        <f t="shared" si="5"/>
        <v>52158.346001390346</v>
      </c>
      <c r="I19" s="629">
        <f t="shared" si="6"/>
        <v>53004.461876446621</v>
      </c>
      <c r="J19" s="629">
        <f t="shared" si="7"/>
        <v>54989.453102067637</v>
      </c>
      <c r="K19" s="629">
        <f t="shared" si="8"/>
        <v>53199.480094283848</v>
      </c>
      <c r="L19" s="629">
        <f t="shared" si="9"/>
        <v>51997.387321972063</v>
      </c>
      <c r="M19" s="629">
        <f t="shared" si="10"/>
        <v>50816.168038930889</v>
      </c>
      <c r="N19" s="629">
        <f t="shared" si="11"/>
        <v>51017.911937772347</v>
      </c>
      <c r="O19" s="632">
        <f t="shared" si="12"/>
        <v>626544.00000000012</v>
      </c>
    </row>
    <row r="20" spans="1:18" x14ac:dyDescent="0.2">
      <c r="A20" s="602" t="s">
        <v>285</v>
      </c>
      <c r="B20" s="614">
        <v>6.7000000000000004E-2</v>
      </c>
      <c r="C20" s="629">
        <f t="shared" si="0"/>
        <v>96866.94532285961</v>
      </c>
      <c r="D20" s="629">
        <f t="shared" si="1"/>
        <v>147785.50034364397</v>
      </c>
      <c r="E20" s="629">
        <f t="shared" si="2"/>
        <v>101598.94723988039</v>
      </c>
      <c r="F20" s="629">
        <f t="shared" si="3"/>
        <v>115410.02155870253</v>
      </c>
      <c r="G20" s="629">
        <f t="shared" si="4"/>
        <v>109956.1197131418</v>
      </c>
      <c r="H20" s="629">
        <f t="shared" si="5"/>
        <v>114954.24941095899</v>
      </c>
      <c r="I20" s="629">
        <f t="shared" si="6"/>
        <v>116819.04426716855</v>
      </c>
      <c r="J20" s="629">
        <f t="shared" si="7"/>
        <v>121193.86045521488</v>
      </c>
      <c r="K20" s="629">
        <f t="shared" si="8"/>
        <v>117248.85415516507</v>
      </c>
      <c r="L20" s="629">
        <f t="shared" si="9"/>
        <v>114599.50495303054</v>
      </c>
      <c r="M20" s="629">
        <f t="shared" si="10"/>
        <v>111996.15982264375</v>
      </c>
      <c r="N20" s="629">
        <f t="shared" si="11"/>
        <v>112440.79275759037</v>
      </c>
      <c r="O20" s="632">
        <f t="shared" si="12"/>
        <v>1380870.0000000002</v>
      </c>
    </row>
    <row r="21" spans="1:18" x14ac:dyDescent="0.2">
      <c r="A21" s="602" t="s">
        <v>286</v>
      </c>
      <c r="B21" s="614">
        <v>5.0799999999999998E-2</v>
      </c>
      <c r="C21" s="629">
        <f t="shared" si="0"/>
        <v>73445.385408974151</v>
      </c>
      <c r="D21" s="629">
        <f t="shared" si="1"/>
        <v>112052.28981279273</v>
      </c>
      <c r="E21" s="629">
        <f t="shared" si="2"/>
        <v>77033.231638595869</v>
      </c>
      <c r="F21" s="629">
        <f t="shared" si="3"/>
        <v>87504.911868389361</v>
      </c>
      <c r="G21" s="629">
        <f t="shared" si="4"/>
        <v>83369.714648173191</v>
      </c>
      <c r="H21" s="629">
        <f t="shared" si="5"/>
        <v>87159.341344428598</v>
      </c>
      <c r="I21" s="629">
        <f t="shared" si="6"/>
        <v>88573.245504062113</v>
      </c>
      <c r="J21" s="629">
        <f t="shared" si="7"/>
        <v>91890.270315297239</v>
      </c>
      <c r="K21" s="629">
        <f t="shared" si="8"/>
        <v>88899.131210184845</v>
      </c>
      <c r="L21" s="629">
        <f t="shared" si="9"/>
        <v>86890.370919611203</v>
      </c>
      <c r="M21" s="629">
        <f t="shared" si="10"/>
        <v>84916.491328213466</v>
      </c>
      <c r="N21" s="629">
        <f t="shared" si="11"/>
        <v>85253.616001277478</v>
      </c>
      <c r="O21" s="632">
        <f t="shared" si="12"/>
        <v>1046988.0000000002</v>
      </c>
    </row>
    <row r="22" spans="1:18" x14ac:dyDescent="0.2">
      <c r="A22" s="602" t="s">
        <v>287</v>
      </c>
      <c r="B22" s="614">
        <v>1.7000000000000001E-2</v>
      </c>
      <c r="C22" s="629">
        <f t="shared" si="0"/>
        <v>24578.18015654647</v>
      </c>
      <c r="D22" s="629">
        <f t="shared" si="1"/>
        <v>37497.813520029071</v>
      </c>
      <c r="E22" s="629">
        <f t="shared" si="2"/>
        <v>25778.837359372636</v>
      </c>
      <c r="F22" s="629">
        <f t="shared" si="3"/>
        <v>29283.139798476761</v>
      </c>
      <c r="G22" s="629">
        <f t="shared" si="4"/>
        <v>27899.313957065831</v>
      </c>
      <c r="H22" s="629">
        <f t="shared" si="5"/>
        <v>29167.496119198549</v>
      </c>
      <c r="I22" s="629">
        <f t="shared" si="6"/>
        <v>29640.653023012914</v>
      </c>
      <c r="J22" s="629">
        <f t="shared" si="7"/>
        <v>30750.68101102467</v>
      </c>
      <c r="K22" s="629">
        <f t="shared" si="8"/>
        <v>29749.709263250839</v>
      </c>
      <c r="L22" s="629">
        <f t="shared" si="9"/>
        <v>29077.486331365959</v>
      </c>
      <c r="M22" s="629">
        <f t="shared" si="10"/>
        <v>28416.936074402147</v>
      </c>
      <c r="N22" s="629">
        <f t="shared" si="11"/>
        <v>28529.753386254277</v>
      </c>
      <c r="O22" s="632">
        <f t="shared" si="12"/>
        <v>350370.00000000012</v>
      </c>
    </row>
    <row r="23" spans="1:18" x14ac:dyDescent="0.2">
      <c r="A23" s="602" t="s">
        <v>162</v>
      </c>
      <c r="B23" s="614">
        <v>4.0800000000000003E-2</v>
      </c>
      <c r="C23" s="629">
        <f t="shared" si="0"/>
        <v>58987.632375711531</v>
      </c>
      <c r="D23" s="629">
        <f t="shared" si="1"/>
        <v>89994.752448069761</v>
      </c>
      <c r="E23" s="629">
        <f t="shared" si="2"/>
        <v>61869.20966249433</v>
      </c>
      <c r="F23" s="629">
        <f t="shared" si="3"/>
        <v>70279.535516344229</v>
      </c>
      <c r="G23" s="629">
        <f t="shared" si="4"/>
        <v>66958.353496957992</v>
      </c>
      <c r="H23" s="629">
        <f t="shared" si="5"/>
        <v>70001.990686076519</v>
      </c>
      <c r="I23" s="629">
        <f t="shared" si="6"/>
        <v>71137.567255230999</v>
      </c>
      <c r="J23" s="629">
        <f t="shared" si="7"/>
        <v>73801.634426459204</v>
      </c>
      <c r="K23" s="629">
        <f t="shared" si="8"/>
        <v>71399.302231802008</v>
      </c>
      <c r="L23" s="629">
        <f t="shared" si="9"/>
        <v>69785.967195278296</v>
      </c>
      <c r="M23" s="629">
        <f t="shared" si="10"/>
        <v>68200.646578565153</v>
      </c>
      <c r="N23" s="629">
        <f t="shared" si="11"/>
        <v>68471.408127010262</v>
      </c>
      <c r="O23" s="632">
        <f t="shared" si="12"/>
        <v>840888.00000000023</v>
      </c>
    </row>
    <row r="24" spans="1:18" x14ac:dyDescent="0.2">
      <c r="A24" s="602" t="s">
        <v>163</v>
      </c>
      <c r="B24" s="614">
        <v>3.7000000000000002E-3</v>
      </c>
      <c r="C24" s="629">
        <f t="shared" si="0"/>
        <v>5349.3686223071727</v>
      </c>
      <c r="D24" s="629">
        <f t="shared" si="1"/>
        <v>8161.2888249475027</v>
      </c>
      <c r="E24" s="629">
        <f t="shared" si="2"/>
        <v>5610.6881311575735</v>
      </c>
      <c r="F24" s="629">
        <f t="shared" si="3"/>
        <v>6373.3892502567069</v>
      </c>
      <c r="G24" s="629">
        <f t="shared" si="4"/>
        <v>6072.2036259496217</v>
      </c>
      <c r="H24" s="629">
        <f t="shared" si="5"/>
        <v>6348.2197435902726</v>
      </c>
      <c r="I24" s="629">
        <f t="shared" si="6"/>
        <v>6451.2009520675165</v>
      </c>
      <c r="J24" s="629">
        <f t="shared" si="7"/>
        <v>6692.795278870075</v>
      </c>
      <c r="K24" s="629">
        <f t="shared" si="8"/>
        <v>6474.9367220016529</v>
      </c>
      <c r="L24" s="629">
        <f t="shared" si="9"/>
        <v>6328.6293780031792</v>
      </c>
      <c r="M24" s="629">
        <f t="shared" si="10"/>
        <v>6184.8625573698782</v>
      </c>
      <c r="N24" s="629">
        <f t="shared" si="11"/>
        <v>6209.4169134788717</v>
      </c>
      <c r="O24" s="632">
        <f t="shared" si="12"/>
        <v>76257.000000000015</v>
      </c>
    </row>
    <row r="25" spans="1:18" x14ac:dyDescent="0.2">
      <c r="A25" s="602" t="s">
        <v>164</v>
      </c>
      <c r="B25" s="614">
        <v>3.7699999999999997E-2</v>
      </c>
      <c r="C25" s="629">
        <f t="shared" si="0"/>
        <v>54505.728935400104</v>
      </c>
      <c r="D25" s="629">
        <f t="shared" si="1"/>
        <v>83156.91586500562</v>
      </c>
      <c r="E25" s="629">
        <f t="shared" si="2"/>
        <v>57168.362849902842</v>
      </c>
      <c r="F25" s="629">
        <f t="shared" si="3"/>
        <v>64939.668847210218</v>
      </c>
      <c r="G25" s="629">
        <f t="shared" si="4"/>
        <v>61870.831540081279</v>
      </c>
      <c r="H25" s="629">
        <f t="shared" si="5"/>
        <v>64683.211981987362</v>
      </c>
      <c r="I25" s="629">
        <f t="shared" si="6"/>
        <v>65732.506998093333</v>
      </c>
      <c r="J25" s="629">
        <f t="shared" si="7"/>
        <v>68194.157300919396</v>
      </c>
      <c r="K25" s="629">
        <f t="shared" si="8"/>
        <v>65974.355248503314</v>
      </c>
      <c r="L25" s="629">
        <f t="shared" si="9"/>
        <v>64483.602040735088</v>
      </c>
      <c r="M25" s="629">
        <f t="shared" si="10"/>
        <v>63018.73470617416</v>
      </c>
      <c r="N25" s="629">
        <f t="shared" si="11"/>
        <v>63268.923685987415</v>
      </c>
      <c r="O25" s="632">
        <f t="shared" si="12"/>
        <v>776997</v>
      </c>
    </row>
    <row r="26" spans="1:18" ht="13.5" thickBot="1" x14ac:dyDescent="0.25">
      <c r="A26" s="602" t="s">
        <v>165</v>
      </c>
      <c r="B26" s="615">
        <v>4.5999999999999999E-2</v>
      </c>
      <c r="C26" s="629">
        <f t="shared" si="0"/>
        <v>66505.663953008087</v>
      </c>
      <c r="D26" s="629">
        <f t="shared" si="1"/>
        <v>101464.6718777257</v>
      </c>
      <c r="E26" s="629">
        <f t="shared" si="2"/>
        <v>69754.501090067133</v>
      </c>
      <c r="F26" s="629">
        <f t="shared" si="3"/>
        <v>79236.731219407695</v>
      </c>
      <c r="G26" s="629">
        <f t="shared" si="4"/>
        <v>75492.261295589895</v>
      </c>
      <c r="H26" s="629">
        <f t="shared" si="5"/>
        <v>78923.813028419594</v>
      </c>
      <c r="I26" s="629">
        <f t="shared" si="6"/>
        <v>80204.119944623177</v>
      </c>
      <c r="J26" s="629">
        <f t="shared" si="7"/>
        <v>83207.725088654974</v>
      </c>
      <c r="K26" s="629">
        <f t="shared" si="8"/>
        <v>80499.213300561081</v>
      </c>
      <c r="L26" s="629">
        <f t="shared" si="9"/>
        <v>78680.257131931416</v>
      </c>
      <c r="M26" s="629">
        <f t="shared" si="10"/>
        <v>76892.88584838227</v>
      </c>
      <c r="N26" s="629">
        <f t="shared" si="11"/>
        <v>77198.156221629208</v>
      </c>
      <c r="O26" s="632">
        <f t="shared" si="12"/>
        <v>948060.00000000023</v>
      </c>
    </row>
    <row r="27" spans="1:18" ht="13.5" thickBot="1" x14ac:dyDescent="0.25">
      <c r="A27" s="607" t="s">
        <v>288</v>
      </c>
      <c r="B27" s="608">
        <f>SUM(B7:B26)</f>
        <v>1</v>
      </c>
      <c r="C27" s="637">
        <f>'X22.55 POE'!B39</f>
        <v>1445775.3033262629</v>
      </c>
      <c r="D27" s="637">
        <f>'X22.55 POE'!C39</f>
        <v>2205753.7364722979</v>
      </c>
      <c r="E27" s="637">
        <f>'X22.55 POE'!D39</f>
        <v>1516402.197610155</v>
      </c>
      <c r="F27" s="637">
        <f>'X22.55 POE'!E39</f>
        <v>1722537.6352045152</v>
      </c>
      <c r="G27" s="637">
        <f>'X22.55 POE'!F39</f>
        <v>1641136.1151215194</v>
      </c>
      <c r="H27" s="637">
        <f>'X22.55 POE'!G39</f>
        <v>1715735.0658352086</v>
      </c>
      <c r="I27" s="637">
        <f>'X22.55 POE'!H39</f>
        <v>1743567.8248831125</v>
      </c>
      <c r="J27" s="637">
        <f>'X22.55 POE'!I39</f>
        <v>1808863.5888838039</v>
      </c>
      <c r="K27" s="637">
        <f>'X22.55 POE'!J39</f>
        <v>1749982.8978382845</v>
      </c>
      <c r="L27" s="637">
        <f>'X22.55 POE'!K39</f>
        <v>1710440.3724332915</v>
      </c>
      <c r="M27" s="637">
        <f>'X22.55 POE'!L39</f>
        <v>1671584.474964832</v>
      </c>
      <c r="N27" s="637">
        <f>'X22.55 POE'!M39</f>
        <v>1678220.787426722</v>
      </c>
      <c r="O27" s="637">
        <f t="shared" ref="O27" si="13">SUM(O7:O26)</f>
        <v>20610000.000000004</v>
      </c>
      <c r="Q27" s="597">
        <v>7916554.8000000026</v>
      </c>
      <c r="R27" s="606">
        <f>Q27+O27</f>
        <v>28526554.800000004</v>
      </c>
    </row>
    <row r="28" spans="1:18" hidden="1" x14ac:dyDescent="0.2">
      <c r="A28" s="618" t="s">
        <v>344</v>
      </c>
      <c r="B28" s="618"/>
      <c r="C28" s="619">
        <f>'[3]PRESUPUSTO ESTATAL 2017'!B52</f>
        <v>1521250.4468291907</v>
      </c>
      <c r="D28" s="619">
        <f>'[3]PRESUPUSTO ESTATAL 2017'!C52</f>
        <v>1992155.4322061262</v>
      </c>
      <c r="E28" s="619">
        <f>'[3]PRESUPUSTO ESTATAL 2017'!D52</f>
        <v>1561223.5204092669</v>
      </c>
      <c r="F28" s="619">
        <f>'[3]PRESUPUSTO ESTATAL 2017'!E52</f>
        <v>1709133.4840227321</v>
      </c>
      <c r="G28" s="619">
        <f>'[3]PRESUPUSTO ESTATAL 2017'!F52</f>
        <v>1794276.5472658337</v>
      </c>
      <c r="H28" s="619">
        <f>'[3]PRESUPUSTO ESTATAL 2017'!G52</f>
        <v>1664193.9164477964</v>
      </c>
      <c r="I28" s="619">
        <f>'[3]PRESUPUSTO ESTATAL 2017'!H52</f>
        <v>1722567.8942233375</v>
      </c>
      <c r="J28" s="619">
        <f>'[3]PRESUPUSTO ESTATAL 2017'!I52</f>
        <v>1774773.0179705636</v>
      </c>
      <c r="K28" s="619">
        <f>'[3]PRESUPUSTO ESTATAL 2017'!J52</f>
        <v>1814273.0193366187</v>
      </c>
      <c r="L28" s="619">
        <f>'[3]PRESUPUSTO ESTATAL 2017'!K52</f>
        <v>1772942.0603667807</v>
      </c>
      <c r="M28" s="619">
        <f>'[3]PRESUPUSTO ESTATAL 2017'!L52</f>
        <v>1696337.0334839264</v>
      </c>
      <c r="N28" s="619">
        <f>'[3]PRESUPUSTO ESTATAL 2017'!M52</f>
        <v>1676873.6274378267</v>
      </c>
      <c r="O28" s="619">
        <f>SUM(C28:N28)</f>
        <v>20700000</v>
      </c>
    </row>
    <row r="29" spans="1:18" hidden="1" x14ac:dyDescent="0.2">
      <c r="A29" s="620" t="s">
        <v>345</v>
      </c>
      <c r="B29" s="620"/>
      <c r="C29" s="621">
        <f>C28-C27</f>
        <v>75475.143502927851</v>
      </c>
      <c r="D29" s="621">
        <f t="shared" ref="D29:O29" si="14">D28-D27</f>
        <v>-213598.30426617176</v>
      </c>
      <c r="E29" s="621">
        <f t="shared" si="14"/>
        <v>44821.322799111949</v>
      </c>
      <c r="F29" s="621">
        <f t="shared" si="14"/>
        <v>-13404.151181783061</v>
      </c>
      <c r="G29" s="621">
        <f t="shared" si="14"/>
        <v>153140.43214431428</v>
      </c>
      <c r="H29" s="621">
        <f t="shared" si="14"/>
        <v>-51541.149387412239</v>
      </c>
      <c r="I29" s="621">
        <f t="shared" si="14"/>
        <v>-20999.930659774924</v>
      </c>
      <c r="J29" s="621">
        <f t="shared" si="14"/>
        <v>-34090.570913240314</v>
      </c>
      <c r="K29" s="621">
        <f t="shared" si="14"/>
        <v>64290.121498334222</v>
      </c>
      <c r="L29" s="621">
        <f t="shared" si="14"/>
        <v>62501.687933489215</v>
      </c>
      <c r="M29" s="621">
        <f t="shared" si="14"/>
        <v>24752.558519094484</v>
      </c>
      <c r="N29" s="621">
        <f t="shared" si="14"/>
        <v>-1347.1599888952915</v>
      </c>
      <c r="O29" s="621">
        <f t="shared" si="14"/>
        <v>89999.999999996275</v>
      </c>
    </row>
    <row r="30" spans="1:18" ht="13.5" thickBot="1" x14ac:dyDescent="0.25">
      <c r="A30" s="611" t="s">
        <v>289</v>
      </c>
    </row>
    <row r="31" spans="1:18" x14ac:dyDescent="0.2">
      <c r="A31" s="647" t="s">
        <v>359</v>
      </c>
      <c r="C31" s="606">
        <f>'X22.55 POE'!B38</f>
        <v>2564365.66382625</v>
      </c>
      <c r="D31" s="606">
        <f>'X22.55 POE'!C38</f>
        <v>5612974.6877003619</v>
      </c>
      <c r="E31" s="606">
        <f>'X22.55 POE'!D38</f>
        <v>2309193.5414062529</v>
      </c>
      <c r="F31" s="606">
        <f>'X22.55 POE'!E38</f>
        <v>2214307.624631146</v>
      </c>
      <c r="G31" s="606">
        <f>'X22.55 POE'!F38</f>
        <v>2479745.7367765284</v>
      </c>
      <c r="H31" s="606">
        <f>'X22.55 POE'!G38</f>
        <v>2529310.6808395823</v>
      </c>
      <c r="I31" s="606">
        <f>'X22.55 POE'!H38</f>
        <v>2655026.273459658</v>
      </c>
      <c r="J31" s="606">
        <f>'X22.55 POE'!I38</f>
        <v>2856739.3781724935</v>
      </c>
      <c r="K31" s="606">
        <f>'X22.55 POE'!J38</f>
        <v>2954358.3648252054</v>
      </c>
      <c r="L31" s="606">
        <f>'X22.55 POE'!K38</f>
        <v>2846218.3858766607</v>
      </c>
      <c r="M31" s="606">
        <f>'X22.55 POE'!L38</f>
        <v>2708071.5303823217</v>
      </c>
      <c r="N31" s="606">
        <f>'X22.55 POE'!M38</f>
        <v>2701366.1321035386</v>
      </c>
      <c r="O31" s="606">
        <f>SUM(C31:N31)</f>
        <v>34431678</v>
      </c>
    </row>
    <row r="32" spans="1:18" x14ac:dyDescent="0.2">
      <c r="A32" s="650" t="s">
        <v>360</v>
      </c>
      <c r="C32" s="640">
        <f>'X22.55 POE'!B39</f>
        <v>1445775.3033262629</v>
      </c>
      <c r="D32" s="640">
        <f>'X22.55 POE'!C39</f>
        <v>2205753.7364722979</v>
      </c>
      <c r="E32" s="640">
        <f>'X22.55 POE'!D39</f>
        <v>1516402.197610155</v>
      </c>
      <c r="F32" s="640">
        <f>'X22.55 POE'!E39</f>
        <v>1722537.6352045152</v>
      </c>
      <c r="G32" s="640">
        <f>'X22.55 POE'!F39</f>
        <v>1641136.1151215194</v>
      </c>
      <c r="H32" s="640">
        <f>'X22.55 POE'!G39</f>
        <v>1715735.0658352086</v>
      </c>
      <c r="I32" s="640">
        <f>'X22.55 POE'!H39</f>
        <v>1743567.8248831125</v>
      </c>
      <c r="J32" s="640">
        <f>'X22.55 POE'!I39</f>
        <v>1808863.5888838039</v>
      </c>
      <c r="K32" s="640">
        <f>'X22.55 POE'!J39</f>
        <v>1749982.8978382845</v>
      </c>
      <c r="L32" s="640">
        <f>'X22.55 POE'!K39</f>
        <v>1710440.3724332915</v>
      </c>
      <c r="M32" s="640">
        <f>'X22.55 POE'!L39</f>
        <v>1671584.474964832</v>
      </c>
      <c r="N32" s="640">
        <f>'X22.55 POE'!M39</f>
        <v>1678220.787426722</v>
      </c>
      <c r="O32" s="640">
        <f>SUM(C32:N32)</f>
        <v>20610000.000000004</v>
      </c>
    </row>
    <row r="33" spans="1:15" ht="13.5" thickBot="1" x14ac:dyDescent="0.25">
      <c r="A33" s="654" t="s">
        <v>345</v>
      </c>
      <c r="C33" s="640">
        <f>C31-C32</f>
        <v>1118590.3604999871</v>
      </c>
      <c r="D33" s="640">
        <f t="shared" ref="D33:N33" si="15">D31-D32</f>
        <v>3407220.951228064</v>
      </c>
      <c r="E33" s="640">
        <f t="shared" si="15"/>
        <v>792791.34379609791</v>
      </c>
      <c r="F33" s="640">
        <f t="shared" si="15"/>
        <v>491769.98942663078</v>
      </c>
      <c r="G33" s="640">
        <f t="shared" si="15"/>
        <v>838609.62165500899</v>
      </c>
      <c r="H33" s="640">
        <f t="shared" si="15"/>
        <v>813575.61500437371</v>
      </c>
      <c r="I33" s="640">
        <f t="shared" si="15"/>
        <v>911458.44857654558</v>
      </c>
      <c r="J33" s="640">
        <f t="shared" si="15"/>
        <v>1047875.7892886896</v>
      </c>
      <c r="K33" s="640">
        <f t="shared" si="15"/>
        <v>1204375.4669869209</v>
      </c>
      <c r="L33" s="640">
        <f t="shared" si="15"/>
        <v>1135778.0134433692</v>
      </c>
      <c r="M33" s="640">
        <f t="shared" si="15"/>
        <v>1036487.0554174897</v>
      </c>
      <c r="N33" s="640">
        <f t="shared" si="15"/>
        <v>1023145.3446768166</v>
      </c>
      <c r="O33" s="640">
        <f>SUM(C33:N33)</f>
        <v>13821677.999999993</v>
      </c>
    </row>
    <row r="34" spans="1:15" x14ac:dyDescent="0.2">
      <c r="C34" s="606"/>
      <c r="D34" s="606"/>
      <c r="E34" s="606"/>
      <c r="F34" s="606"/>
      <c r="G34" s="606"/>
      <c r="H34" s="606"/>
      <c r="I34" s="606"/>
      <c r="J34" s="606"/>
      <c r="K34" s="606"/>
      <c r="L34" s="606"/>
      <c r="M34" s="606"/>
      <c r="N34" s="606"/>
      <c r="O34" s="606"/>
    </row>
    <row r="38" spans="1:15" x14ac:dyDescent="0.2">
      <c r="K38" s="606"/>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7" tint="0.59999389629810485"/>
  </sheetPr>
  <dimension ref="A1:O36"/>
  <sheetViews>
    <sheetView workbookViewId="0">
      <selection activeCell="A3" sqref="A3"/>
    </sheetView>
  </sheetViews>
  <sheetFormatPr baseColWidth="10" defaultRowHeight="12.75" x14ac:dyDescent="0.2"/>
  <cols>
    <col min="1" max="1" width="16.85546875" style="597" customWidth="1"/>
    <col min="2" max="2" width="9.28515625" style="597" hidden="1" customWidth="1"/>
    <col min="3" max="10" width="7.85546875" style="597" customWidth="1"/>
    <col min="11" max="11" width="9.5703125" style="597" customWidth="1"/>
    <col min="12" max="12" width="7.85546875" style="597" customWidth="1"/>
    <col min="13" max="13" width="9.42578125" style="597" customWidth="1"/>
    <col min="14" max="14" width="9.28515625" style="597" customWidth="1"/>
    <col min="15" max="15" width="11.42578125" style="597" bestFit="1" customWidth="1"/>
    <col min="16"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5" t="s">
        <v>408</v>
      </c>
      <c r="B2" s="1255"/>
      <c r="C2" s="1255"/>
      <c r="D2" s="1255"/>
      <c r="E2" s="1255"/>
      <c r="F2" s="1255"/>
      <c r="G2" s="1255"/>
      <c r="H2" s="1255"/>
      <c r="I2" s="1255"/>
      <c r="J2" s="1255"/>
      <c r="K2" s="1255"/>
      <c r="L2" s="1255"/>
      <c r="M2" s="1255"/>
      <c r="N2" s="1255"/>
      <c r="O2" s="1255"/>
    </row>
    <row r="3" spans="1:15" ht="13.5" thickBot="1" x14ac:dyDescent="0.25"/>
    <row r="4" spans="1:15" ht="23.25" thickBot="1" x14ac:dyDescent="0.25">
      <c r="A4" s="598" t="s">
        <v>343</v>
      </c>
      <c r="B4" s="599" t="s">
        <v>281</v>
      </c>
      <c r="C4" s="598" t="s">
        <v>1</v>
      </c>
      <c r="D4" s="600" t="s">
        <v>2</v>
      </c>
      <c r="E4" s="598" t="s">
        <v>3</v>
      </c>
      <c r="F4" s="600" t="s">
        <v>4</v>
      </c>
      <c r="G4" s="598" t="s">
        <v>5</v>
      </c>
      <c r="H4" s="598" t="s">
        <v>6</v>
      </c>
      <c r="I4" s="598" t="s">
        <v>7</v>
      </c>
      <c r="J4" s="600" t="s">
        <v>8</v>
      </c>
      <c r="K4" s="598" t="s">
        <v>9</v>
      </c>
      <c r="L4" s="600" t="s">
        <v>10</v>
      </c>
      <c r="M4" s="598" t="s">
        <v>11</v>
      </c>
      <c r="N4" s="598" t="s">
        <v>12</v>
      </c>
      <c r="O4" s="601" t="s">
        <v>168</v>
      </c>
    </row>
    <row r="5" spans="1:15" ht="12.75" customHeight="1" x14ac:dyDescent="0.2">
      <c r="A5" s="602" t="s">
        <v>282</v>
      </c>
      <c r="B5" s="613"/>
      <c r="C5" s="604">
        <f>'IEPS INCREMENTO'!C7+'IEPS ESTIMACIONES'!C7</f>
        <v>112893.06497605411</v>
      </c>
      <c r="D5" s="604">
        <f>'IEPS INCREMENTO'!D7+'IEPS ESTIMACIONES'!D7</f>
        <v>257267.74477841175</v>
      </c>
      <c r="E5" s="604">
        <f>'IEPS INCREMENTO'!E7+'IEPS ESTIMACIONES'!E7</f>
        <v>99385.813775644987</v>
      </c>
      <c r="F5" s="604">
        <f>'IEPS INCREMENTO'!F7+'IEPS ESTIMACIONES'!F7</f>
        <v>92456.482298389426</v>
      </c>
      <c r="G5" s="604">
        <f>'IEPS INCREMENTO'!G7+'IEPS ESTIMACIONES'!G7</f>
        <v>106591.2440185383</v>
      </c>
      <c r="H5" s="604">
        <f>'IEPS INCREMENTO'!H7+'IEPS ESTIMACIONES'!H7</f>
        <v>108278.7423441259</v>
      </c>
      <c r="I5" s="604">
        <f>'IEPS INCREMENTO'!I7+'IEPS ESTIMACIONES'!I7</f>
        <v>114269.49472922191</v>
      </c>
      <c r="J5" s="604">
        <f>'IEPS INCREMENTO'!J7+'IEPS ESTIMACIONES'!J7</f>
        <v>123663.01486645635</v>
      </c>
      <c r="K5" s="604">
        <f>'IEPS INCREMENTO'!K7+'IEPS ESTIMACIONES'!K7</f>
        <v>129168.09952417444</v>
      </c>
      <c r="L5" s="604">
        <f>'IEPS INCREMENTO'!L7+'IEPS ESTIMACIONES'!L7</f>
        <v>124180.25134604014</v>
      </c>
      <c r="M5" s="604">
        <f>'IEPS INCREMENTO'!M7+'IEPS ESTIMACIONES'!M7</f>
        <v>117684.78108448886</v>
      </c>
      <c r="N5" s="604">
        <f>'IEPS INCREMENTO'!N7+'IEPS ESTIMACIONES'!N7</f>
        <v>117279.16625845367</v>
      </c>
      <c r="O5" s="605">
        <f>SUM(C5:N5)</f>
        <v>1503117.8999999997</v>
      </c>
    </row>
    <row r="6" spans="1:15" ht="12.75" customHeight="1" x14ac:dyDescent="0.2">
      <c r="A6" s="602" t="s">
        <v>147</v>
      </c>
      <c r="B6" s="614"/>
      <c r="C6" s="604">
        <f>'IEPS INCREMENTO'!C8+'IEPS ESTIMACIONES'!C8</f>
        <v>139495.33055725734</v>
      </c>
      <c r="D6" s="604">
        <f>'IEPS INCREMENTO'!D8+'IEPS ESTIMACIONES'!D8</f>
        <v>297853.61352950206</v>
      </c>
      <c r="E6" s="604">
        <f>'IEPS INCREMENTO'!E8+'IEPS ESTIMACIONES'!E8</f>
        <v>127287.61421167184</v>
      </c>
      <c r="F6" s="604">
        <f>'IEPS INCREMENTO'!F8+'IEPS ESTIMACIONES'!F8</f>
        <v>124151.17478615251</v>
      </c>
      <c r="G6" s="604">
        <f>'IEPS INCREMENTO'!G8+'IEPS ESTIMACIONES'!G8</f>
        <v>136788.14853677427</v>
      </c>
      <c r="H6" s="604">
        <f>'IEPS INCREMENTO'!H8+'IEPS ESTIMACIONES'!H8</f>
        <v>139848.26755549375</v>
      </c>
      <c r="I6" s="604">
        <f>'IEPS INCREMENTO'!I8+'IEPS ESTIMACIONES'!I8</f>
        <v>146351.14270707118</v>
      </c>
      <c r="J6" s="604">
        <f>'IEPS INCREMENTO'!J8+'IEPS ESTIMACIONES'!J8</f>
        <v>156946.10490191833</v>
      </c>
      <c r="K6" s="604">
        <f>'IEPS INCREMENTO'!K8+'IEPS ESTIMACIONES'!K8</f>
        <v>161367.78484439888</v>
      </c>
      <c r="L6" s="604">
        <f>'IEPS INCREMENTO'!L8+'IEPS ESTIMACIONES'!L8</f>
        <v>155652.35419881271</v>
      </c>
      <c r="M6" s="604">
        <f>'IEPS INCREMENTO'!M8+'IEPS ESTIMACIONES'!M8</f>
        <v>148441.93542384176</v>
      </c>
      <c r="N6" s="604">
        <f>'IEPS INCREMENTO'!N8+'IEPS ESTIMACIONES'!N8</f>
        <v>148158.42874710535</v>
      </c>
      <c r="O6" s="605">
        <f t="shared" ref="O6:O24" si="0">SUM(C6:N6)</f>
        <v>1882341.9000000001</v>
      </c>
    </row>
    <row r="7" spans="1:15" ht="12.75" customHeight="1" x14ac:dyDescent="0.2">
      <c r="A7" s="602" t="s">
        <v>148</v>
      </c>
      <c r="B7" s="614"/>
      <c r="C7" s="604">
        <f>'IEPS INCREMENTO'!C9+'IEPS ESTIMACIONES'!C9</f>
        <v>144410.96658856666</v>
      </c>
      <c r="D7" s="604">
        <f>'IEPS INCREMENTO'!D9+'IEPS ESTIMACIONES'!D9</f>
        <v>305353.17623350781</v>
      </c>
      <c r="E7" s="604">
        <f>'IEPS INCREMENTO'!E9+'IEPS ESTIMACIONES'!E9</f>
        <v>132443.38168354635</v>
      </c>
      <c r="F7" s="604">
        <f>'IEPS INCREMENTO'!F9+'IEPS ESTIMACIONES'!F9</f>
        <v>130007.80274584786</v>
      </c>
      <c r="G7" s="604">
        <f>'IEPS INCREMENTO'!G9+'IEPS ESTIMACIONES'!G9</f>
        <v>142368.01132818742</v>
      </c>
      <c r="H7" s="604">
        <f>'IEPS INCREMENTO'!H9+'IEPS ESTIMACIONES'!H9</f>
        <v>145681.76677933344</v>
      </c>
      <c r="I7" s="604">
        <f>'IEPS INCREMENTO'!I9+'IEPS ESTIMACIONES'!I9</f>
        <v>152279.27331167375</v>
      </c>
      <c r="J7" s="604">
        <f>'IEPS INCREMENTO'!J9+'IEPS ESTIMACIONES'!J9</f>
        <v>163096.24110412327</v>
      </c>
      <c r="K7" s="604">
        <f>'IEPS INCREMENTO'!K9+'IEPS ESTIMACIONES'!K9</f>
        <v>167317.72669704905</v>
      </c>
      <c r="L7" s="604">
        <f>'IEPS INCREMENTO'!L9+'IEPS ESTIMACIONES'!L9</f>
        <v>161467.8514650859</v>
      </c>
      <c r="M7" s="604">
        <f>'IEPS INCREMENTO'!M9+'IEPS ESTIMACIONES'!M9</f>
        <v>154125.32263872219</v>
      </c>
      <c r="N7" s="604">
        <f>'IEPS INCREMENTO'!N9+'IEPS ESTIMACIONES'!N9</f>
        <v>153864.37942435622</v>
      </c>
      <c r="O7" s="605">
        <f t="shared" si="0"/>
        <v>1952415.9</v>
      </c>
    </row>
    <row r="8" spans="1:15" ht="12.75" customHeight="1" x14ac:dyDescent="0.2">
      <c r="A8" s="602" t="s">
        <v>283</v>
      </c>
      <c r="B8" s="614"/>
      <c r="C8" s="604">
        <f>'IEPS INCREMENTO'!C10+'IEPS ESTIMACIONES'!C10</f>
        <v>129374.90343397351</v>
      </c>
      <c r="D8" s="604">
        <f>'IEPS INCREMENTO'!D10+'IEPS ESTIMACIONES'!D10</f>
        <v>282413.33737419592</v>
      </c>
      <c r="E8" s="604">
        <f>'IEPS INCREMENTO'!E10+'IEPS ESTIMACIONES'!E10</f>
        <v>116672.79882840076</v>
      </c>
      <c r="F8" s="604">
        <f>'IEPS INCREMENTO'!F10+'IEPS ESTIMACIONES'!F10</f>
        <v>112093.4113397209</v>
      </c>
      <c r="G8" s="604">
        <f>'IEPS INCREMENTO'!G10+'IEPS ESTIMACIONES'!G10</f>
        <v>125300.19573092365</v>
      </c>
      <c r="H8" s="604">
        <f>'IEPS INCREMENTO'!H10+'IEPS ESTIMACIONES'!H10</f>
        <v>127838.12209464729</v>
      </c>
      <c r="I8" s="604">
        <f>'IEPS INCREMENTO'!I10+'IEPS ESTIMACIONES'!I10</f>
        <v>134146.1679328894</v>
      </c>
      <c r="J8" s="604">
        <f>'IEPS INCREMENTO'!J10+'IEPS ESTIMACIONES'!J10</f>
        <v>144284.05977973173</v>
      </c>
      <c r="K8" s="604">
        <f>'IEPS INCREMENTO'!K10+'IEPS ESTIMACIONES'!K10</f>
        <v>149117.9045595309</v>
      </c>
      <c r="L8" s="604">
        <f>'IEPS INCREMENTO'!L10+'IEPS ESTIMACIONES'!L10</f>
        <v>143679.27159177966</v>
      </c>
      <c r="M8" s="604">
        <f>'IEPS INCREMENTO'!M10+'IEPS ESTIMACIONES'!M10</f>
        <v>136740.84409908793</v>
      </c>
      <c r="N8" s="604">
        <f>'IEPS INCREMENTO'!N10+'IEPS ESTIMACIONES'!N10</f>
        <v>136410.88323511829</v>
      </c>
      <c r="O8" s="605">
        <f t="shared" si="0"/>
        <v>1738071.9000000001</v>
      </c>
    </row>
    <row r="9" spans="1:15" ht="12.75" customHeight="1" x14ac:dyDescent="0.2">
      <c r="A9" s="602" t="s">
        <v>150</v>
      </c>
      <c r="B9" s="614"/>
      <c r="C9" s="604">
        <f>'IEPS INCREMENTO'!C11+'IEPS ESTIMACIONES'!C11</f>
        <v>100314.81983711563</v>
      </c>
      <c r="D9" s="604">
        <f>'IEPS INCREMENTO'!D11+'IEPS ESTIMACIONES'!D11</f>
        <v>238077.68727110277</v>
      </c>
      <c r="E9" s="604">
        <f>'IEPS INCREMENTO'!E11+'IEPS ESTIMACIONES'!E11</f>
        <v>86193.11465643665</v>
      </c>
      <c r="F9" s="604">
        <f>'IEPS INCREMENTO'!F11+'IEPS ESTIMACIONES'!F11</f>
        <v>77470.404872110157</v>
      </c>
      <c r="G9" s="604">
        <f>'IEPS INCREMENTO'!G11+'IEPS ESTIMACIONES'!G11</f>
        <v>92313.359816981101</v>
      </c>
      <c r="H9" s="604">
        <f>'IEPS INCREMENTO'!H11+'IEPS ESTIMACIONES'!H11</f>
        <v>93351.847271359584</v>
      </c>
      <c r="I9" s="604">
        <f>'IEPS INCREMENTO'!I11+'IEPS ESTIMACIONES'!I11</f>
        <v>99100.45465273883</v>
      </c>
      <c r="J9" s="604">
        <f>'IEPS INCREMENTO'!J11+'IEPS ESTIMACIONES'!J11</f>
        <v>107925.90164316726</v>
      </c>
      <c r="K9" s="604">
        <f>'IEPS INCREMENTO'!K11+'IEPS ESTIMACIONES'!K11</f>
        <v>113943.24831298138</v>
      </c>
      <c r="L9" s="604">
        <f>'IEPS INCREMENTO'!L11+'IEPS ESTIMACIONES'!L11</f>
        <v>109299.42010587052</v>
      </c>
      <c r="M9" s="604">
        <f>'IEPS INCREMENTO'!M11+'IEPS ESTIMACIONES'!M11</f>
        <v>103141.99615229483</v>
      </c>
      <c r="N9" s="604">
        <f>'IEPS INCREMENTO'!N11+'IEPS ESTIMACIONES'!N11</f>
        <v>102678.64540784119</v>
      </c>
      <c r="O9" s="605">
        <f t="shared" si="0"/>
        <v>1323810.8999999999</v>
      </c>
    </row>
    <row r="10" spans="1:15" ht="12.75" customHeight="1" x14ac:dyDescent="0.2">
      <c r="A10" s="602" t="s">
        <v>284</v>
      </c>
      <c r="B10" s="614"/>
      <c r="C10" s="604">
        <f>'IEPS INCREMENTO'!C12+'IEPS ESTIMACIONES'!C12</f>
        <v>193422.74937132697</v>
      </c>
      <c r="D10" s="604">
        <f>'IEPS INCREMENTO'!D12+'IEPS ESTIMACIONES'!D12</f>
        <v>380128.2278999188</v>
      </c>
      <c r="E10" s="604">
        <f>'IEPS INCREMENTO'!E12+'IEPS ESTIMACIONES'!E12</f>
        <v>183849.41618253064</v>
      </c>
      <c r="F10" s="604">
        <f>'IEPS INCREMENTO'!F12+'IEPS ESTIMACIONES'!F12</f>
        <v>188401.82857928093</v>
      </c>
      <c r="G10" s="604">
        <f>'IEPS INCREMENTO'!G12+'IEPS ESTIMACIONES'!G12</f>
        <v>198002.52563080695</v>
      </c>
      <c r="H10" s="604">
        <f>'IEPS INCREMENTO'!H12+'IEPS ESTIMACIONES'!H12</f>
        <v>203845.18551114705</v>
      </c>
      <c r="I10" s="604">
        <f>'IEPS INCREMENTO'!I12+'IEPS ESTIMACIONES'!I12</f>
        <v>211386.22257521126</v>
      </c>
      <c r="J10" s="604">
        <f>'IEPS INCREMENTO'!J12+'IEPS ESTIMACIONES'!J12</f>
        <v>224416.71676728426</v>
      </c>
      <c r="K10" s="604">
        <f>'IEPS INCREMENTO'!K12+'IEPS ESTIMACIONES'!K12</f>
        <v>226642.1469337669</v>
      </c>
      <c r="L10" s="604">
        <f>'IEPS INCREMENTO'!L12+'IEPS ESTIMACIONES'!L12</f>
        <v>219451.7800905745</v>
      </c>
      <c r="M10" s="604">
        <f>'IEPS INCREMENTO'!M12+'IEPS ESTIMACIONES'!M12</f>
        <v>210792.03634003</v>
      </c>
      <c r="N10" s="604">
        <f>'IEPS INCREMENTO'!N12+'IEPS ESTIMACIONES'!N12</f>
        <v>210756.0641181221</v>
      </c>
      <c r="O10" s="605">
        <f t="shared" si="0"/>
        <v>2651094.9000000008</v>
      </c>
    </row>
    <row r="11" spans="1:15" ht="12.75" customHeight="1" x14ac:dyDescent="0.2">
      <c r="A11" s="602" t="s">
        <v>152</v>
      </c>
      <c r="B11" s="614"/>
      <c r="C11" s="604">
        <f>'IEPS INCREMENTO'!C13+'IEPS ESTIMACIONES'!C13</f>
        <v>190820.35382533967</v>
      </c>
      <c r="D11" s="604">
        <f>'IEPS INCREMENTO'!D13+'IEPS ESTIMACIONES'!D13</f>
        <v>376157.8711742686</v>
      </c>
      <c r="E11" s="604">
        <f>'IEPS INCREMENTO'!E13+'IEPS ESTIMACIONES'!E13</f>
        <v>181119.89222683234</v>
      </c>
      <c r="F11" s="604">
        <f>'IEPS INCREMENTO'!F13+'IEPS ESTIMACIONES'!F13</f>
        <v>185301.26083591281</v>
      </c>
      <c r="G11" s="604">
        <f>'IEPS INCREMENTO'!G13+'IEPS ESTIMACIONES'!G13</f>
        <v>195048.4806235882</v>
      </c>
      <c r="H11" s="604">
        <f>'IEPS INCREMENTO'!H13+'IEPS ESTIMACIONES'!H13</f>
        <v>200756.86239264364</v>
      </c>
      <c r="I11" s="604">
        <f>'IEPS INCREMENTO'!I13+'IEPS ESTIMACIONES'!I13</f>
        <v>208247.80049042165</v>
      </c>
      <c r="J11" s="604">
        <f>'IEPS INCREMENTO'!J13+'IEPS ESTIMACIONES'!J13</f>
        <v>221160.76230729336</v>
      </c>
      <c r="K11" s="604">
        <f>'IEPS INCREMENTO'!K13+'IEPS ESTIMACIONES'!K13</f>
        <v>223492.17771765796</v>
      </c>
      <c r="L11" s="604">
        <f>'IEPS INCREMENTO'!L13+'IEPS ESTIMACIONES'!L13</f>
        <v>216372.98742019455</v>
      </c>
      <c r="M11" s="604">
        <f>'IEPS INCREMENTO'!M13+'IEPS ESTIMACIONES'!M13</f>
        <v>207783.1842850933</v>
      </c>
      <c r="N11" s="604">
        <f>'IEPS INCREMENTO'!N13+'IEPS ESTIMACIONES'!N13</f>
        <v>207735.26670075397</v>
      </c>
      <c r="O11" s="605">
        <f t="shared" si="0"/>
        <v>2613996.9</v>
      </c>
    </row>
    <row r="12" spans="1:15" ht="12.75" customHeight="1" x14ac:dyDescent="0.2">
      <c r="A12" s="602" t="s">
        <v>153</v>
      </c>
      <c r="B12" s="614"/>
      <c r="C12" s="604">
        <f>'IEPS INCREMENTO'!C14+'IEPS ESTIMACIONES'!C14</f>
        <v>121278.56173534643</v>
      </c>
      <c r="D12" s="604">
        <f>'IEPS INCREMENTO'!D14+'IEPS ESTIMACIONES'!D14</f>
        <v>270061.11644995108</v>
      </c>
      <c r="E12" s="604">
        <f>'IEPS INCREMENTO'!E14+'IEPS ESTIMACIONES'!E14</f>
        <v>108180.94652178389</v>
      </c>
      <c r="F12" s="604">
        <f>'IEPS INCREMENTO'!F14+'IEPS ESTIMACIONES'!F14</f>
        <v>102447.20058257562</v>
      </c>
      <c r="G12" s="604">
        <f>'IEPS INCREMENTO'!G14+'IEPS ESTIMACIONES'!G14</f>
        <v>116109.83348624312</v>
      </c>
      <c r="H12" s="604">
        <f>'IEPS INCREMENTO'!H14+'IEPS ESTIMACIONES'!H14</f>
        <v>118230.00572597011</v>
      </c>
      <c r="I12" s="604">
        <f>'IEPS INCREMENTO'!I14+'IEPS ESTIMACIONES'!I14</f>
        <v>124382.18811354396</v>
      </c>
      <c r="J12" s="604">
        <f>'IEPS INCREMENTO'!J14+'IEPS ESTIMACIONES'!J14</f>
        <v>134154.42368198241</v>
      </c>
      <c r="K12" s="604">
        <f>'IEPS INCREMENTO'!K14+'IEPS ESTIMACIONES'!K14</f>
        <v>139318.00033163649</v>
      </c>
      <c r="L12" s="604">
        <f>'IEPS INCREMENTO'!L14+'IEPS ESTIMACIONES'!L14</f>
        <v>134100.80550615324</v>
      </c>
      <c r="M12" s="604">
        <f>'IEPS INCREMENTO'!M14+'IEPS ESTIMACIONES'!M14</f>
        <v>127379.97103928488</v>
      </c>
      <c r="N12" s="604">
        <f>'IEPS INCREMENTO'!N14+'IEPS ESTIMACIONES'!N14</f>
        <v>127012.84682552866</v>
      </c>
      <c r="O12" s="605">
        <f t="shared" si="0"/>
        <v>1622655.9</v>
      </c>
    </row>
    <row r="13" spans="1:15" ht="12.75" customHeight="1" x14ac:dyDescent="0.2">
      <c r="A13" s="602" t="s">
        <v>154</v>
      </c>
      <c r="B13" s="614"/>
      <c r="C13" s="604">
        <f>'IEPS INCREMENTO'!C15+'IEPS ESTIMACIONES'!C15</f>
        <v>129374.90343397351</v>
      </c>
      <c r="D13" s="604">
        <f>'IEPS INCREMENTO'!D15+'IEPS ESTIMACIONES'!D15</f>
        <v>282413.33737419592</v>
      </c>
      <c r="E13" s="604">
        <f>'IEPS INCREMENTO'!E15+'IEPS ESTIMACIONES'!E15</f>
        <v>116672.79882840076</v>
      </c>
      <c r="F13" s="604">
        <f>'IEPS INCREMENTO'!F15+'IEPS ESTIMACIONES'!F15</f>
        <v>112093.4113397209</v>
      </c>
      <c r="G13" s="604">
        <f>'IEPS INCREMENTO'!G15+'IEPS ESTIMACIONES'!G15</f>
        <v>125300.19573092365</v>
      </c>
      <c r="H13" s="604">
        <f>'IEPS INCREMENTO'!H15+'IEPS ESTIMACIONES'!H15</f>
        <v>127838.12209464729</v>
      </c>
      <c r="I13" s="604">
        <f>'IEPS INCREMENTO'!I15+'IEPS ESTIMACIONES'!I15</f>
        <v>134146.1679328894</v>
      </c>
      <c r="J13" s="604">
        <f>'IEPS INCREMENTO'!J15+'IEPS ESTIMACIONES'!J15</f>
        <v>144284.05977973173</v>
      </c>
      <c r="K13" s="604">
        <f>'IEPS INCREMENTO'!K15+'IEPS ESTIMACIONES'!K15</f>
        <v>149117.9045595309</v>
      </c>
      <c r="L13" s="604">
        <f>'IEPS INCREMENTO'!L15+'IEPS ESTIMACIONES'!L15</f>
        <v>143679.27159177966</v>
      </c>
      <c r="M13" s="604">
        <f>'IEPS INCREMENTO'!M15+'IEPS ESTIMACIONES'!M15</f>
        <v>136740.84409908793</v>
      </c>
      <c r="N13" s="604">
        <f>'IEPS INCREMENTO'!N15+'IEPS ESTIMACIONES'!N15</f>
        <v>136410.88323511829</v>
      </c>
      <c r="O13" s="605">
        <f t="shared" si="0"/>
        <v>1738071.9000000001</v>
      </c>
    </row>
    <row r="14" spans="1:15" ht="12.75" customHeight="1" x14ac:dyDescent="0.2">
      <c r="A14" s="602" t="s">
        <v>155</v>
      </c>
      <c r="B14" s="614"/>
      <c r="C14" s="604">
        <f>'IEPS INCREMENTO'!C16+'IEPS ESTIMACIONES'!C16</f>
        <v>184892.67508170201</v>
      </c>
      <c r="D14" s="604">
        <f>'IEPS INCREMENTO'!D16+'IEPS ESTIMACIONES'!D16</f>
        <v>367114.28085473221</v>
      </c>
      <c r="E14" s="604">
        <f>'IEPS INCREMENTO'!E16+'IEPS ESTIMACIONES'!E16</f>
        <v>174902.64321663071</v>
      </c>
      <c r="F14" s="604">
        <f>'IEPS INCREMENTO'!F16+'IEPS ESTIMACIONES'!F16</f>
        <v>178238.8565315743</v>
      </c>
      <c r="G14" s="604">
        <f>'IEPS INCREMENTO'!G16+'IEPS ESTIMACIONES'!G16</f>
        <v>188319.82255158998</v>
      </c>
      <c r="H14" s="604">
        <f>'IEPS INCREMENTO'!H16+'IEPS ESTIMACIONES'!H16</f>
        <v>193722.34862271929</v>
      </c>
      <c r="I14" s="604">
        <f>'IEPS INCREMENTO'!I16+'IEPS ESTIMACIONES'!I16</f>
        <v>201099.17240840089</v>
      </c>
      <c r="J14" s="604">
        <f>'IEPS INCREMENTO'!J16+'IEPS ESTIMACIONES'!J16</f>
        <v>213744.4215928698</v>
      </c>
      <c r="K14" s="604">
        <f>'IEPS INCREMENTO'!K16+'IEPS ESTIMACIONES'!K16</f>
        <v>216317.24783652101</v>
      </c>
      <c r="L14" s="604">
        <f>'IEPS INCREMENTO'!L16+'IEPS ESTIMACIONES'!L16</f>
        <v>209360.18189321808</v>
      </c>
      <c r="M14" s="604">
        <f>'IEPS INCREMENTO'!M16+'IEPS ESTIMACIONES'!M16</f>
        <v>200929.6879377375</v>
      </c>
      <c r="N14" s="604">
        <f>'IEPS INCREMENTO'!N16+'IEPS ESTIMACIONES'!N16</f>
        <v>200854.56147230443</v>
      </c>
      <c r="O14" s="605">
        <f t="shared" si="0"/>
        <v>2529495.9</v>
      </c>
    </row>
    <row r="15" spans="1:15" ht="12.75" customHeight="1" x14ac:dyDescent="0.2">
      <c r="A15" s="602" t="s">
        <v>156</v>
      </c>
      <c r="B15" s="614"/>
      <c r="C15" s="604">
        <f>'IEPS INCREMENTO'!C17+'IEPS ESTIMACIONES'!C17</f>
        <v>128507.43825197776</v>
      </c>
      <c r="D15" s="604">
        <f>'IEPS INCREMENTO'!D17+'IEPS ESTIMACIONES'!D17</f>
        <v>281089.88513231254</v>
      </c>
      <c r="E15" s="604">
        <f>'IEPS INCREMENTO'!E17+'IEPS ESTIMACIONES'!E17</f>
        <v>115762.95750983467</v>
      </c>
      <c r="F15" s="604">
        <f>'IEPS INCREMENTO'!F17+'IEPS ESTIMACIONES'!F17</f>
        <v>111059.8887585982</v>
      </c>
      <c r="G15" s="604">
        <f>'IEPS INCREMENTO'!G17+'IEPS ESTIMACIONES'!G17</f>
        <v>124315.51406185073</v>
      </c>
      <c r="H15" s="604">
        <f>'IEPS INCREMENTO'!H17+'IEPS ESTIMACIONES'!H17</f>
        <v>126808.68105514615</v>
      </c>
      <c r="I15" s="604">
        <f>'IEPS INCREMENTO'!I17+'IEPS ESTIMACIONES'!I17</f>
        <v>133100.02723795953</v>
      </c>
      <c r="J15" s="604">
        <f>'IEPS INCREMENTO'!J17+'IEPS ESTIMACIONES'!J17</f>
        <v>143198.74162640143</v>
      </c>
      <c r="K15" s="604">
        <f>'IEPS INCREMENTO'!K17+'IEPS ESTIMACIONES'!K17</f>
        <v>148067.91482082792</v>
      </c>
      <c r="L15" s="604">
        <f>'IEPS INCREMENTO'!L17+'IEPS ESTIMACIONES'!L17</f>
        <v>142653.0073683197</v>
      </c>
      <c r="M15" s="604">
        <f>'IEPS INCREMENTO'!M17+'IEPS ESTIMACIONES'!M17</f>
        <v>135737.89341410904</v>
      </c>
      <c r="N15" s="604">
        <f>'IEPS INCREMENTO'!N17+'IEPS ESTIMACIONES'!N17</f>
        <v>135403.95076266228</v>
      </c>
      <c r="O15" s="605">
        <f t="shared" si="0"/>
        <v>1725705.9000000001</v>
      </c>
    </row>
    <row r="16" spans="1:15" ht="12.75" customHeight="1" x14ac:dyDescent="0.2">
      <c r="A16" s="602" t="s">
        <v>157</v>
      </c>
      <c r="B16" s="614"/>
      <c r="C16" s="604">
        <f>'IEPS INCREMENTO'!C18+'IEPS ESTIMACIONES'!C18</f>
        <v>117953.27853769604</v>
      </c>
      <c r="D16" s="604">
        <f>'IEPS INCREMENTO'!D18+'IEPS ESTIMACIONES'!D18</f>
        <v>264987.88285606483</v>
      </c>
      <c r="E16" s="604">
        <f>'IEPS INCREMENTO'!E18+'IEPS ESTIMACIONES'!E18</f>
        <v>104693.22146728054</v>
      </c>
      <c r="F16" s="604">
        <f>'IEPS INCREMENTO'!F18+'IEPS ESTIMACIONES'!F18</f>
        <v>98485.364021605244</v>
      </c>
      <c r="G16" s="604">
        <f>'IEPS INCREMENTO'!G18+'IEPS ESTIMACIONES'!G18</f>
        <v>112335.22042146363</v>
      </c>
      <c r="H16" s="604">
        <f>'IEPS INCREMENTO'!H18+'IEPS ESTIMACIONES'!H18</f>
        <v>114283.81507454914</v>
      </c>
      <c r="I16" s="604">
        <f>'IEPS INCREMENTO'!I18+'IEPS ESTIMACIONES'!I18</f>
        <v>120371.98211631281</v>
      </c>
      <c r="J16" s="604">
        <f>'IEPS INCREMENTO'!J18+'IEPS ESTIMACIONES'!J18</f>
        <v>129994.03742754967</v>
      </c>
      <c r="K16" s="604">
        <f>'IEPS INCREMENTO'!K18+'IEPS ESTIMACIONES'!K18</f>
        <v>135293.03966660844</v>
      </c>
      <c r="L16" s="604">
        <f>'IEPS INCREMENTO'!L18+'IEPS ESTIMACIONES'!L18</f>
        <v>130166.79264955668</v>
      </c>
      <c r="M16" s="604">
        <f>'IEPS INCREMENTO'!M18+'IEPS ESTIMACIONES'!M18</f>
        <v>123535.32674686577</v>
      </c>
      <c r="N16" s="604">
        <f>'IEPS INCREMENTO'!N18+'IEPS ESTIMACIONES'!N18</f>
        <v>123152.9390144472</v>
      </c>
      <c r="O16" s="605">
        <f t="shared" si="0"/>
        <v>1575252.9000000001</v>
      </c>
    </row>
    <row r="17" spans="1:15" ht="12.75" customHeight="1" x14ac:dyDescent="0.2">
      <c r="A17" s="602" t="s">
        <v>158</v>
      </c>
      <c r="B17" s="614"/>
      <c r="C17" s="604">
        <f>'IEPS INCREMENTO'!C19+'IEPS ESTIMACIONES'!C19</f>
        <v>99881.08724611775</v>
      </c>
      <c r="D17" s="604">
        <f>'IEPS INCREMENTO'!D19+'IEPS ESTIMACIONES'!D19</f>
        <v>237415.96115016108</v>
      </c>
      <c r="E17" s="604">
        <f>'IEPS INCREMENTO'!E19+'IEPS ESTIMACIONES'!E19</f>
        <v>85738.193997153605</v>
      </c>
      <c r="F17" s="604">
        <f>'IEPS INCREMENTO'!F19+'IEPS ESTIMACIONES'!F19</f>
        <v>76953.643581548793</v>
      </c>
      <c r="G17" s="604">
        <f>'IEPS INCREMENTO'!G19+'IEPS ESTIMACIONES'!G19</f>
        <v>91821.018982444628</v>
      </c>
      <c r="H17" s="604">
        <f>'IEPS INCREMENTO'!H19+'IEPS ESTIMACIONES'!H19</f>
        <v>92837.12675160903</v>
      </c>
      <c r="I17" s="604">
        <f>'IEPS INCREMENTO'!I19+'IEPS ESTIMACIONES'!I19</f>
        <v>98577.384305273896</v>
      </c>
      <c r="J17" s="604">
        <f>'IEPS INCREMENTO'!J19+'IEPS ESTIMACIONES'!J19</f>
        <v>107383.24256650211</v>
      </c>
      <c r="K17" s="604">
        <f>'IEPS INCREMENTO'!K19+'IEPS ESTIMACIONES'!K19</f>
        <v>113418.25344362989</v>
      </c>
      <c r="L17" s="604">
        <f>'IEPS INCREMENTO'!L19+'IEPS ESTIMACIONES'!L19</f>
        <v>108786.28799414053</v>
      </c>
      <c r="M17" s="604">
        <f>'IEPS INCREMENTO'!M19+'IEPS ESTIMACIONES'!M19</f>
        <v>102640.52080980537</v>
      </c>
      <c r="N17" s="604">
        <f>'IEPS INCREMENTO'!N19+'IEPS ESTIMACIONES'!N19</f>
        <v>102175.17917161318</v>
      </c>
      <c r="O17" s="605">
        <f t="shared" si="0"/>
        <v>1317627.8999999997</v>
      </c>
    </row>
    <row r="18" spans="1:15" ht="12.75" customHeight="1" x14ac:dyDescent="0.2">
      <c r="A18" s="602" t="s">
        <v>285</v>
      </c>
      <c r="B18" s="614"/>
      <c r="C18" s="604">
        <f>'IEPS INCREMENTO'!C20+'IEPS ESTIMACIONES'!C20</f>
        <v>152796.46334785898</v>
      </c>
      <c r="D18" s="604">
        <f>'IEPS INCREMENTO'!D20+'IEPS ESTIMACIONES'!D20</f>
        <v>318146.54790504719</v>
      </c>
      <c r="E18" s="604">
        <f>'IEPS INCREMENTO'!E20+'IEPS ESTIMACIONES'!E20</f>
        <v>141238.51442968528</v>
      </c>
      <c r="F18" s="604">
        <f>'IEPS INCREMENTO'!F20+'IEPS ESTIMACIONES'!F20</f>
        <v>139998.52103003406</v>
      </c>
      <c r="G18" s="604">
        <f>'IEPS INCREMENTO'!G20+'IEPS ESTIMACIONES'!G20</f>
        <v>151886.60079589224</v>
      </c>
      <c r="H18" s="604">
        <f>'IEPS INCREMENTO'!H20+'IEPS ESTIMACIONES'!H20</f>
        <v>155633.03016117768</v>
      </c>
      <c r="I18" s="604">
        <f>'IEPS INCREMENTO'!I20+'IEPS ESTIMACIONES'!I20</f>
        <v>162391.96669599583</v>
      </c>
      <c r="J18" s="604">
        <f>'IEPS INCREMENTO'!J20+'IEPS ESTIMACIONES'!J20</f>
        <v>173587.64991964935</v>
      </c>
      <c r="K18" s="604">
        <f>'IEPS INCREMENTO'!K20+'IEPS ESTIMACIONES'!K20</f>
        <v>177467.6275045111</v>
      </c>
      <c r="L18" s="604">
        <f>'IEPS INCREMENTO'!L20+'IEPS ESTIMACIONES'!L20</f>
        <v>171388.405625199</v>
      </c>
      <c r="M18" s="604">
        <f>'IEPS INCREMENTO'!M20+'IEPS ESTIMACIONES'!M20</f>
        <v>163820.51259351824</v>
      </c>
      <c r="N18" s="604">
        <f>'IEPS INCREMENTO'!N20+'IEPS ESTIMACIONES'!N20</f>
        <v>163598.05999143119</v>
      </c>
      <c r="O18" s="605">
        <f t="shared" si="0"/>
        <v>2071953.9000000001</v>
      </c>
    </row>
    <row r="19" spans="1:15" ht="12.75" customHeight="1" x14ac:dyDescent="0.2">
      <c r="A19" s="602" t="s">
        <v>286</v>
      </c>
      <c r="B19" s="614"/>
      <c r="C19" s="604">
        <f>'IEPS INCREMENTO'!C21+'IEPS ESTIMACIONES'!C21</f>
        <v>129374.90343397351</v>
      </c>
      <c r="D19" s="604">
        <f>'IEPS INCREMENTO'!D21+'IEPS ESTIMACIONES'!D21</f>
        <v>282413.33737419592</v>
      </c>
      <c r="E19" s="604">
        <f>'IEPS INCREMENTO'!E21+'IEPS ESTIMACIONES'!E21</f>
        <v>116672.79882840076</v>
      </c>
      <c r="F19" s="604">
        <f>'IEPS INCREMENTO'!F21+'IEPS ESTIMACIONES'!F21</f>
        <v>112093.4113397209</v>
      </c>
      <c r="G19" s="604">
        <f>'IEPS INCREMENTO'!G21+'IEPS ESTIMACIONES'!G21</f>
        <v>125300.19573092365</v>
      </c>
      <c r="H19" s="604">
        <f>'IEPS INCREMENTO'!H21+'IEPS ESTIMACIONES'!H21</f>
        <v>127838.12209464729</v>
      </c>
      <c r="I19" s="604">
        <f>'IEPS INCREMENTO'!I21+'IEPS ESTIMACIONES'!I21</f>
        <v>134146.1679328894</v>
      </c>
      <c r="J19" s="604">
        <f>'IEPS INCREMENTO'!J21+'IEPS ESTIMACIONES'!J21</f>
        <v>144284.05977973173</v>
      </c>
      <c r="K19" s="604">
        <f>'IEPS INCREMENTO'!K21+'IEPS ESTIMACIONES'!K21</f>
        <v>149117.9045595309</v>
      </c>
      <c r="L19" s="604">
        <f>'IEPS INCREMENTO'!L21+'IEPS ESTIMACIONES'!L21</f>
        <v>143679.27159177966</v>
      </c>
      <c r="M19" s="604">
        <f>'IEPS INCREMENTO'!M21+'IEPS ESTIMACIONES'!M21</f>
        <v>136740.84409908793</v>
      </c>
      <c r="N19" s="604">
        <f>'IEPS INCREMENTO'!N21+'IEPS ESTIMACIONES'!N21</f>
        <v>136410.88323511829</v>
      </c>
      <c r="O19" s="605">
        <f t="shared" si="0"/>
        <v>1738071.9000000001</v>
      </c>
    </row>
    <row r="20" spans="1:15" ht="12.75" customHeight="1" x14ac:dyDescent="0.2">
      <c r="A20" s="602" t="s">
        <v>287</v>
      </c>
      <c r="B20" s="614"/>
      <c r="C20" s="604">
        <f>'IEPS INCREMENTO'!C22+'IEPS ESTIMACIONES'!C22</f>
        <v>80507.698181545828</v>
      </c>
      <c r="D20" s="604">
        <f>'IEPS INCREMENTO'!D22+'IEPS ESTIMACIONES'!D22</f>
        <v>207858.86108143229</v>
      </c>
      <c r="E20" s="604">
        <f>'IEPS INCREMENTO'!E22+'IEPS ESTIMACIONES'!E22</f>
        <v>65418.404549177525</v>
      </c>
      <c r="F20" s="604">
        <f>'IEPS INCREMENTO'!F22+'IEPS ESTIMACIONES'!F22</f>
        <v>53871.639269808293</v>
      </c>
      <c r="G20" s="604">
        <f>'IEPS INCREMENTO'!G22+'IEPS ESTIMACIONES'!G22</f>
        <v>69829.795039816279</v>
      </c>
      <c r="H20" s="604">
        <f>'IEPS INCREMENTO'!H22+'IEPS ESTIMACIONES'!H22</f>
        <v>69846.276869417226</v>
      </c>
      <c r="I20" s="604">
        <f>'IEPS INCREMENTO'!I22+'IEPS ESTIMACIONES'!I22</f>
        <v>75213.575451840181</v>
      </c>
      <c r="J20" s="604">
        <f>'IEPS INCREMENTO'!J22+'IEPS ESTIMACIONES'!J22</f>
        <v>83144.470475459151</v>
      </c>
      <c r="K20" s="604">
        <f>'IEPS INCREMENTO'!K22+'IEPS ESTIMACIONES'!K22</f>
        <v>89968.482612596883</v>
      </c>
      <c r="L20" s="604">
        <f>'IEPS INCREMENTO'!L22+'IEPS ESTIMACIONES'!L22</f>
        <v>85866.387003534415</v>
      </c>
      <c r="M20" s="604">
        <f>'IEPS INCREMENTO'!M22+'IEPS ESTIMACIONES'!M22</f>
        <v>80241.288845276635</v>
      </c>
      <c r="N20" s="604">
        <f>'IEPS INCREMENTO'!N22+'IEPS ESTIMACIONES'!N22</f>
        <v>79687.020620095107</v>
      </c>
      <c r="O20" s="605">
        <f t="shared" si="0"/>
        <v>1041453.8999999999</v>
      </c>
    </row>
    <row r="21" spans="1:15" ht="12.75" customHeight="1" x14ac:dyDescent="0.2">
      <c r="A21" s="602" t="s">
        <v>162</v>
      </c>
      <c r="B21" s="614"/>
      <c r="C21" s="604">
        <f>'IEPS INCREMENTO'!C23+'IEPS ESTIMACIONES'!C23</f>
        <v>114917.15040071089</v>
      </c>
      <c r="D21" s="604">
        <f>'IEPS INCREMENTO'!D23+'IEPS ESTIMACIONES'!D23</f>
        <v>260355.80000947299</v>
      </c>
      <c r="E21" s="604">
        <f>'IEPS INCREMENTO'!E23+'IEPS ESTIMACIONES'!E23</f>
        <v>101508.77685229923</v>
      </c>
      <c r="F21" s="604">
        <f>'IEPS INCREMENTO'!F23+'IEPS ESTIMACIONES'!F23</f>
        <v>94868.034987675768</v>
      </c>
      <c r="G21" s="604">
        <f>'IEPS INCREMENTO'!G23+'IEPS ESTIMACIONES'!G23</f>
        <v>108888.83457970843</v>
      </c>
      <c r="H21" s="604">
        <f>'IEPS INCREMENTO'!H23+'IEPS ESTIMACIONES'!H23</f>
        <v>110680.77143629521</v>
      </c>
      <c r="I21" s="604">
        <f>'IEPS INCREMENTO'!I23+'IEPS ESTIMACIONES'!I23</f>
        <v>116710.48968405827</v>
      </c>
      <c r="J21" s="604">
        <f>'IEPS INCREMENTO'!J23+'IEPS ESTIMACIONES'!J23</f>
        <v>126195.42389089368</v>
      </c>
      <c r="K21" s="604">
        <f>'IEPS INCREMENTO'!K23+'IEPS ESTIMACIONES'!K23</f>
        <v>131618.07558114803</v>
      </c>
      <c r="L21" s="604">
        <f>'IEPS INCREMENTO'!L23+'IEPS ESTIMACIONES'!L23</f>
        <v>126574.86786744677</v>
      </c>
      <c r="M21" s="604">
        <f>'IEPS INCREMENTO'!M23+'IEPS ESTIMACIONES'!M23</f>
        <v>120024.99934943963</v>
      </c>
      <c r="N21" s="604">
        <f>'IEPS INCREMENTO'!N23+'IEPS ESTIMACIONES'!N23</f>
        <v>119628.67536085109</v>
      </c>
      <c r="O21" s="605">
        <f t="shared" si="0"/>
        <v>1531971.9</v>
      </c>
    </row>
    <row r="22" spans="1:15" ht="12.75" customHeight="1" x14ac:dyDescent="0.2">
      <c r="A22" s="602" t="s">
        <v>163</v>
      </c>
      <c r="B22" s="614"/>
      <c r="C22" s="604">
        <f>'IEPS INCREMENTO'!C24+'IEPS ESTIMACIONES'!C24</f>
        <v>61278.886647306528</v>
      </c>
      <c r="D22" s="604">
        <f>'IEPS INCREMENTO'!D24+'IEPS ESTIMACIONES'!D24</f>
        <v>178522.33638635071</v>
      </c>
      <c r="E22" s="604">
        <f>'IEPS INCREMENTO'!E24+'IEPS ESTIMACIONES'!E24</f>
        <v>45250.25532096246</v>
      </c>
      <c r="F22" s="604">
        <f>'IEPS INCREMENTO'!F24+'IEPS ESTIMACIONES'!F24</f>
        <v>30961.888721588242</v>
      </c>
      <c r="G22" s="604">
        <f>'IEPS INCREMENTO'!G24+'IEPS ESTIMACIONES'!G24</f>
        <v>48002.684708700071</v>
      </c>
      <c r="H22" s="604">
        <f>'IEPS INCREMENTO'!H24+'IEPS ESTIMACIONES'!H24</f>
        <v>47027.000493808955</v>
      </c>
      <c r="I22" s="604">
        <f>'IEPS INCREMENTO'!I24+'IEPS ESTIMACIONES'!I24</f>
        <v>52024.123380894787</v>
      </c>
      <c r="J22" s="604">
        <f>'IEPS INCREMENTO'!J24+'IEPS ESTIMACIONES'!J24</f>
        <v>59086.584743304556</v>
      </c>
      <c r="K22" s="604">
        <f>'IEPS INCREMENTO'!K24+'IEPS ESTIMACIONES'!K24</f>
        <v>66693.710071347698</v>
      </c>
      <c r="L22" s="604">
        <f>'IEPS INCREMENTO'!L24+'IEPS ESTIMACIONES'!L24</f>
        <v>63117.530050171641</v>
      </c>
      <c r="M22" s="604">
        <f>'IEPS INCREMENTO'!M24+'IEPS ESTIMACIONES'!M24</f>
        <v>58009.215328244361</v>
      </c>
      <c r="N22" s="604">
        <f>'IEPS INCREMENTO'!N24+'IEPS ESTIMACIONES'!N24</f>
        <v>57366.684147319698</v>
      </c>
      <c r="O22" s="605">
        <f t="shared" si="0"/>
        <v>767340.89999999967</v>
      </c>
    </row>
    <row r="23" spans="1:15" ht="12.75" customHeight="1" x14ac:dyDescent="0.2">
      <c r="A23" s="602" t="s">
        <v>164</v>
      </c>
      <c r="B23" s="614"/>
      <c r="C23" s="604">
        <f>'IEPS INCREMENTO'!C25+'IEPS ESTIMACIONES'!C25</f>
        <v>110435.24696039947</v>
      </c>
      <c r="D23" s="604">
        <f>'IEPS INCREMENTO'!D25+'IEPS ESTIMACIONES'!D25</f>
        <v>253517.96342640882</v>
      </c>
      <c r="E23" s="604">
        <f>'IEPS INCREMENTO'!E25+'IEPS ESTIMACIONES'!E25</f>
        <v>96807.930039707731</v>
      </c>
      <c r="F23" s="604">
        <f>'IEPS INCREMENTO'!F25+'IEPS ESTIMACIONES'!F25</f>
        <v>89528.16831854175</v>
      </c>
      <c r="G23" s="604">
        <f>'IEPS INCREMENTO'!G25+'IEPS ESTIMACIONES'!G25</f>
        <v>103801.31262283173</v>
      </c>
      <c r="H23" s="604">
        <f>'IEPS INCREMENTO'!H25+'IEPS ESTIMACIONES'!H25</f>
        <v>105361.99273220604</v>
      </c>
      <c r="I23" s="604">
        <f>'IEPS INCREMENTO'!I25+'IEPS ESTIMACIONES'!I25</f>
        <v>111305.4294269206</v>
      </c>
      <c r="J23" s="604">
        <f>'IEPS INCREMENTO'!J25+'IEPS ESTIMACIONES'!J25</f>
        <v>120587.94676535387</v>
      </c>
      <c r="K23" s="604">
        <f>'IEPS INCREMENTO'!K25+'IEPS ESTIMACIONES'!K25</f>
        <v>126193.12859784935</v>
      </c>
      <c r="L23" s="604">
        <f>'IEPS INCREMENTO'!L25+'IEPS ESTIMACIONES'!L25</f>
        <v>121272.50271290354</v>
      </c>
      <c r="M23" s="604">
        <f>'IEPS INCREMENTO'!M25+'IEPS ESTIMACIONES'!M25</f>
        <v>114843.08747704864</v>
      </c>
      <c r="N23" s="604">
        <f>'IEPS INCREMENTO'!N25+'IEPS ESTIMACIONES'!N25</f>
        <v>114426.19091982825</v>
      </c>
      <c r="O23" s="605">
        <f t="shared" si="0"/>
        <v>1468080.9</v>
      </c>
    </row>
    <row r="24" spans="1:15" ht="12.75" customHeight="1" thickBot="1" x14ac:dyDescent="0.25">
      <c r="A24" s="602" t="s">
        <v>165</v>
      </c>
      <c r="B24" s="615"/>
      <c r="C24" s="604">
        <f>'IEPS INCREMENTO'!C26+'IEPS ESTIMACIONES'!C26</f>
        <v>122435.18197800744</v>
      </c>
      <c r="D24" s="604">
        <f>'IEPS INCREMENTO'!D26+'IEPS ESTIMACIONES'!D26</f>
        <v>271825.71943912894</v>
      </c>
      <c r="E24" s="604">
        <f>'IEPS INCREMENTO'!E26+'IEPS ESTIMACIONES'!E26</f>
        <v>109394.06827987202</v>
      </c>
      <c r="F24" s="604">
        <f>'IEPS INCREMENTO'!F26+'IEPS ESTIMACIONES'!F26</f>
        <v>103825.23069073923</v>
      </c>
      <c r="G24" s="604">
        <f>'IEPS INCREMENTO'!G26+'IEPS ESTIMACIONES'!G26</f>
        <v>117422.74237834034</v>
      </c>
      <c r="H24" s="604">
        <f>'IEPS INCREMENTO'!H26+'IEPS ESTIMACIONES'!H26</f>
        <v>119602.59377863829</v>
      </c>
      <c r="I24" s="604">
        <f>'IEPS INCREMENTO'!I26+'IEPS ESTIMACIONES'!I26</f>
        <v>125777.04237345044</v>
      </c>
      <c r="J24" s="604">
        <f>'IEPS INCREMENTO'!J26+'IEPS ESTIMACIONES'!J26</f>
        <v>135601.51455308945</v>
      </c>
      <c r="K24" s="604">
        <f>'IEPS INCREMENTO'!K26+'IEPS ESTIMACIONES'!K26</f>
        <v>140717.98664990714</v>
      </c>
      <c r="L24" s="604">
        <f>'IEPS INCREMENTO'!L26+'IEPS ESTIMACIONES'!L26</f>
        <v>135469.15780409987</v>
      </c>
      <c r="M24" s="604">
        <f>'IEPS INCREMENTO'!M26+'IEPS ESTIMACIONES'!M26</f>
        <v>128717.23861925675</v>
      </c>
      <c r="N24" s="604">
        <f>'IEPS INCREMENTO'!N26+'IEPS ESTIMACIONES'!N26</f>
        <v>128355.42345547004</v>
      </c>
      <c r="O24" s="605">
        <f t="shared" si="0"/>
        <v>1639143.9</v>
      </c>
    </row>
    <row r="25" spans="1:15" ht="13.5" thickBot="1" x14ac:dyDescent="0.25">
      <c r="A25" s="607" t="s">
        <v>288</v>
      </c>
      <c r="B25" s="608">
        <f>SUM(B5:B24)</f>
        <v>0</v>
      </c>
      <c r="C25" s="609">
        <f>SUM(C5:C24)</f>
        <v>2564365.6638262495</v>
      </c>
      <c r="D25" s="609">
        <f t="shared" ref="D25:O25" si="1">SUM(D5:D24)</f>
        <v>5612974.6877003619</v>
      </c>
      <c r="E25" s="609">
        <f t="shared" si="1"/>
        <v>2309193.541406252</v>
      </c>
      <c r="F25" s="609">
        <f t="shared" si="1"/>
        <v>2214307.624631146</v>
      </c>
      <c r="G25" s="609">
        <f t="shared" si="1"/>
        <v>2479745.7367765289</v>
      </c>
      <c r="H25" s="609">
        <f t="shared" si="1"/>
        <v>2529310.6808395819</v>
      </c>
      <c r="I25" s="609">
        <f t="shared" si="1"/>
        <v>2655026.2734596576</v>
      </c>
      <c r="J25" s="609">
        <f t="shared" si="1"/>
        <v>2856739.3781724935</v>
      </c>
      <c r="K25" s="609">
        <f t="shared" si="1"/>
        <v>2954358.3648252054</v>
      </c>
      <c r="L25" s="609">
        <f t="shared" si="1"/>
        <v>2846218.3858766612</v>
      </c>
      <c r="M25" s="609">
        <f t="shared" si="1"/>
        <v>2708071.5303823217</v>
      </c>
      <c r="N25" s="609">
        <f t="shared" si="1"/>
        <v>2701366.1321035386</v>
      </c>
      <c r="O25" s="609">
        <f t="shared" si="1"/>
        <v>34431677.999999985</v>
      </c>
    </row>
    <row r="26" spans="1:15" hidden="1" x14ac:dyDescent="0.2">
      <c r="A26" s="618" t="s">
        <v>344</v>
      </c>
      <c r="B26" s="618"/>
      <c r="C26" s="619">
        <f>'[3]PRESUPUSTO ESTATAL 2017'!B52</f>
        <v>1521250.4468291907</v>
      </c>
      <c r="D26" s="619">
        <f>'[3]PRESUPUSTO ESTATAL 2017'!C52</f>
        <v>1992155.4322061262</v>
      </c>
      <c r="E26" s="619">
        <f>'[3]PRESUPUSTO ESTATAL 2017'!D52</f>
        <v>1561223.5204092669</v>
      </c>
      <c r="F26" s="619">
        <f>'[3]PRESUPUSTO ESTATAL 2017'!E52</f>
        <v>1709133.4840227321</v>
      </c>
      <c r="G26" s="619">
        <f>'[3]PRESUPUSTO ESTATAL 2017'!F52</f>
        <v>1794276.5472658337</v>
      </c>
      <c r="H26" s="619">
        <f>'[3]PRESUPUSTO ESTATAL 2017'!G52</f>
        <v>1664193.9164477964</v>
      </c>
      <c r="I26" s="619">
        <f>'[3]PRESUPUSTO ESTATAL 2017'!H52</f>
        <v>1722567.8942233375</v>
      </c>
      <c r="J26" s="619">
        <f>'[3]PRESUPUSTO ESTATAL 2017'!I52</f>
        <v>1774773.0179705636</v>
      </c>
      <c r="K26" s="619">
        <f>'[3]PRESUPUSTO ESTATAL 2017'!J52</f>
        <v>1814273.0193366187</v>
      </c>
      <c r="L26" s="619">
        <f>'[3]PRESUPUSTO ESTATAL 2017'!K52</f>
        <v>1772942.0603667807</v>
      </c>
      <c r="M26" s="619">
        <f>'[3]PRESUPUSTO ESTATAL 2017'!L52</f>
        <v>1696337.0334839264</v>
      </c>
      <c r="N26" s="619">
        <f>'[3]PRESUPUSTO ESTATAL 2017'!M52</f>
        <v>1676873.6274378267</v>
      </c>
      <c r="O26" s="619">
        <f>SUM(C26:N26)</f>
        <v>20700000</v>
      </c>
    </row>
    <row r="27" spans="1:15" hidden="1" x14ac:dyDescent="0.2">
      <c r="A27" s="620" t="s">
        <v>345</v>
      </c>
      <c r="B27" s="620"/>
      <c r="C27" s="621">
        <f>C26-C25</f>
        <v>-1043115.2169970588</v>
      </c>
      <c r="D27" s="621">
        <f t="shared" ref="D27:O27" si="2">D26-D25</f>
        <v>-3620819.255494236</v>
      </c>
      <c r="E27" s="621">
        <f t="shared" si="2"/>
        <v>-747970.02099698503</v>
      </c>
      <c r="F27" s="621">
        <f t="shared" si="2"/>
        <v>-505174.14060841384</v>
      </c>
      <c r="G27" s="621">
        <f t="shared" si="2"/>
        <v>-685469.18951069517</v>
      </c>
      <c r="H27" s="621">
        <f t="shared" si="2"/>
        <v>-865116.76439178549</v>
      </c>
      <c r="I27" s="621">
        <f t="shared" si="2"/>
        <v>-932458.37923632003</v>
      </c>
      <c r="J27" s="621">
        <f t="shared" si="2"/>
        <v>-1081966.3602019299</v>
      </c>
      <c r="K27" s="621">
        <f t="shared" si="2"/>
        <v>-1140085.3454885867</v>
      </c>
      <c r="L27" s="621">
        <f t="shared" si="2"/>
        <v>-1073276.3255098804</v>
      </c>
      <c r="M27" s="621">
        <f t="shared" si="2"/>
        <v>-1011734.4968983952</v>
      </c>
      <c r="N27" s="621">
        <f t="shared" si="2"/>
        <v>-1024492.5046657119</v>
      </c>
      <c r="O27" s="621">
        <f t="shared" si="2"/>
        <v>-13731677.999999985</v>
      </c>
    </row>
    <row r="28" spans="1:15" x14ac:dyDescent="0.2">
      <c r="A28" s="611" t="s">
        <v>289</v>
      </c>
    </row>
    <row r="29" spans="1:15" x14ac:dyDescent="0.2">
      <c r="A29" s="611"/>
    </row>
    <row r="32" spans="1:15" x14ac:dyDescent="0.2">
      <c r="C32" s="606"/>
      <c r="D32" s="606"/>
      <c r="E32" s="606"/>
      <c r="F32" s="606"/>
      <c r="G32" s="606"/>
      <c r="H32" s="606"/>
      <c r="I32" s="606"/>
      <c r="J32" s="606"/>
      <c r="K32" s="606"/>
      <c r="L32" s="606"/>
      <c r="M32" s="606"/>
      <c r="N32" s="606"/>
      <c r="O32" s="606"/>
    </row>
    <row r="36" spans="11:11" x14ac:dyDescent="0.2">
      <c r="K36" s="606"/>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activeCell="C32" sqref="C32"/>
    </sheetView>
  </sheetViews>
  <sheetFormatPr baseColWidth="10" defaultRowHeight="12.75" x14ac:dyDescent="0.2"/>
  <cols>
    <col min="1" max="1" width="16" style="597" customWidth="1"/>
    <col min="2" max="2" width="9.42578125" style="597" bestFit="1" customWidth="1"/>
    <col min="3" max="14" width="12.7109375" style="597" bestFit="1" customWidth="1"/>
    <col min="15" max="15" width="14" style="597" bestFit="1" customWidth="1"/>
    <col min="16" max="16" width="13.7109375" style="597" bestFit="1" customWidth="1"/>
    <col min="17"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355</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39">
        <f>FFM!N8</f>
        <v>0</v>
      </c>
      <c r="C7" s="629">
        <f t="shared" ref="C7:C26" si="0">$C$31*B7/100</f>
        <v>0</v>
      </c>
      <c r="D7" s="630">
        <f t="shared" ref="D7:D11" si="1">$D$32*B7/100</f>
        <v>0</v>
      </c>
      <c r="E7" s="629">
        <f t="shared" ref="E7:E11" si="2">$E$32*B7/100</f>
        <v>0</v>
      </c>
      <c r="F7" s="630">
        <f t="shared" ref="F7:F11" si="3">$F$32*B7/100</f>
        <v>0</v>
      </c>
      <c r="G7" s="629">
        <f t="shared" ref="G7:G11" si="4">$G$32*B7/100</f>
        <v>0</v>
      </c>
      <c r="H7" s="629">
        <f t="shared" ref="H7:H11" si="5">$H$32*B7/100</f>
        <v>0</v>
      </c>
      <c r="I7" s="629">
        <f t="shared" ref="I7:I11" si="6">$I$32*B7/100</f>
        <v>0</v>
      </c>
      <c r="J7" s="630">
        <f t="shared" ref="J7:J11" si="7">$J$32*B7/100</f>
        <v>0</v>
      </c>
      <c r="K7" s="629">
        <f t="shared" ref="K7:K11" si="8">$K$32*B7/100</f>
        <v>0</v>
      </c>
      <c r="L7" s="630">
        <f t="shared" ref="L7:L11" si="9">$L$32*B7/100</f>
        <v>0</v>
      </c>
      <c r="M7" s="629">
        <f t="shared" ref="M7:M11" si="10">$M$32*B7/100</f>
        <v>0</v>
      </c>
      <c r="N7" s="629">
        <f t="shared" ref="N7:N11" si="11">$N$32*B7/100</f>
        <v>0</v>
      </c>
      <c r="O7" s="632">
        <f t="shared" ref="O7:O27" si="12">SUM(C7:N7)</f>
        <v>0</v>
      </c>
    </row>
    <row r="8" spans="1:15" x14ac:dyDescent="0.2">
      <c r="A8" s="602" t="s">
        <v>147</v>
      </c>
      <c r="B8" s="639">
        <f>FFM!N9</f>
        <v>0</v>
      </c>
      <c r="C8" s="629">
        <f t="shared" si="0"/>
        <v>0</v>
      </c>
      <c r="D8" s="630">
        <f t="shared" si="1"/>
        <v>0</v>
      </c>
      <c r="E8" s="629">
        <f t="shared" si="2"/>
        <v>0</v>
      </c>
      <c r="F8" s="630">
        <f t="shared" si="3"/>
        <v>0</v>
      </c>
      <c r="G8" s="629">
        <f t="shared" si="4"/>
        <v>0</v>
      </c>
      <c r="H8" s="629">
        <f t="shared" si="5"/>
        <v>0</v>
      </c>
      <c r="I8" s="629">
        <f t="shared" si="6"/>
        <v>0</v>
      </c>
      <c r="J8" s="630">
        <f t="shared" si="7"/>
        <v>0</v>
      </c>
      <c r="K8" s="629">
        <f t="shared" si="8"/>
        <v>0</v>
      </c>
      <c r="L8" s="630">
        <f t="shared" si="9"/>
        <v>0</v>
      </c>
      <c r="M8" s="629">
        <f t="shared" si="10"/>
        <v>0</v>
      </c>
      <c r="N8" s="629">
        <f t="shared" si="11"/>
        <v>0</v>
      </c>
      <c r="O8" s="632">
        <f t="shared" si="12"/>
        <v>0</v>
      </c>
    </row>
    <row r="9" spans="1:15" x14ac:dyDescent="0.2">
      <c r="A9" s="602" t="s">
        <v>148</v>
      </c>
      <c r="B9" s="639">
        <f>FFM!N10</f>
        <v>0</v>
      </c>
      <c r="C9" s="629">
        <f t="shared" si="0"/>
        <v>0</v>
      </c>
      <c r="D9" s="630">
        <f t="shared" si="1"/>
        <v>0</v>
      </c>
      <c r="E9" s="629">
        <f t="shared" si="2"/>
        <v>0</v>
      </c>
      <c r="F9" s="630">
        <f t="shared" si="3"/>
        <v>0</v>
      </c>
      <c r="G9" s="629">
        <f t="shared" si="4"/>
        <v>0</v>
      </c>
      <c r="H9" s="629">
        <f t="shared" si="5"/>
        <v>0</v>
      </c>
      <c r="I9" s="629">
        <f t="shared" si="6"/>
        <v>0</v>
      </c>
      <c r="J9" s="630">
        <f t="shared" si="7"/>
        <v>0</v>
      </c>
      <c r="K9" s="629">
        <f t="shared" si="8"/>
        <v>0</v>
      </c>
      <c r="L9" s="630">
        <f t="shared" si="9"/>
        <v>0</v>
      </c>
      <c r="M9" s="629">
        <f t="shared" si="10"/>
        <v>0</v>
      </c>
      <c r="N9" s="629">
        <f t="shared" si="11"/>
        <v>0</v>
      </c>
      <c r="O9" s="632">
        <f t="shared" si="12"/>
        <v>0</v>
      </c>
    </row>
    <row r="10" spans="1:15" x14ac:dyDescent="0.2">
      <c r="A10" s="602" t="s">
        <v>283</v>
      </c>
      <c r="B10" s="639">
        <f>FFM!N11</f>
        <v>0</v>
      </c>
      <c r="C10" s="629">
        <f t="shared" si="0"/>
        <v>0</v>
      </c>
      <c r="D10" s="630">
        <f t="shared" si="1"/>
        <v>0</v>
      </c>
      <c r="E10" s="629">
        <f t="shared" si="2"/>
        <v>0</v>
      </c>
      <c r="F10" s="630">
        <f t="shared" si="3"/>
        <v>0</v>
      </c>
      <c r="G10" s="629">
        <f t="shared" si="4"/>
        <v>0</v>
      </c>
      <c r="H10" s="629">
        <f t="shared" si="5"/>
        <v>0</v>
      </c>
      <c r="I10" s="629">
        <f t="shared" si="6"/>
        <v>0</v>
      </c>
      <c r="J10" s="630">
        <f t="shared" si="7"/>
        <v>0</v>
      </c>
      <c r="K10" s="629">
        <f t="shared" si="8"/>
        <v>0</v>
      </c>
      <c r="L10" s="630">
        <f t="shared" si="9"/>
        <v>0</v>
      </c>
      <c r="M10" s="629">
        <f t="shared" si="10"/>
        <v>0</v>
      </c>
      <c r="N10" s="629">
        <f t="shared" si="11"/>
        <v>0</v>
      </c>
      <c r="O10" s="632">
        <f t="shared" si="12"/>
        <v>0</v>
      </c>
    </row>
    <row r="11" spans="1:15" x14ac:dyDescent="0.2">
      <c r="A11" s="602" t="s">
        <v>150</v>
      </c>
      <c r="B11" s="639">
        <f>FFM!N12</f>
        <v>0</v>
      </c>
      <c r="C11" s="629">
        <f t="shared" si="0"/>
        <v>0</v>
      </c>
      <c r="D11" s="630">
        <f t="shared" si="1"/>
        <v>0</v>
      </c>
      <c r="E11" s="629">
        <f t="shared" si="2"/>
        <v>0</v>
      </c>
      <c r="F11" s="630">
        <f t="shared" si="3"/>
        <v>0</v>
      </c>
      <c r="G11" s="629">
        <f t="shared" si="4"/>
        <v>0</v>
      </c>
      <c r="H11" s="629">
        <f t="shared" si="5"/>
        <v>0</v>
      </c>
      <c r="I11" s="629">
        <f t="shared" si="6"/>
        <v>0</v>
      </c>
      <c r="J11" s="630">
        <f t="shared" si="7"/>
        <v>0</v>
      </c>
      <c r="K11" s="629">
        <f t="shared" si="8"/>
        <v>0</v>
      </c>
      <c r="L11" s="630">
        <f t="shared" si="9"/>
        <v>0</v>
      </c>
      <c r="M11" s="629">
        <f t="shared" si="10"/>
        <v>0</v>
      </c>
      <c r="N11" s="629">
        <f t="shared" si="11"/>
        <v>0</v>
      </c>
      <c r="O11" s="632">
        <f t="shared" si="12"/>
        <v>0</v>
      </c>
    </row>
    <row r="12" spans="1:15" x14ac:dyDescent="0.2">
      <c r="A12" s="602" t="s">
        <v>284</v>
      </c>
      <c r="B12" s="639">
        <f>FFM!N13</f>
        <v>0.44395223975783266</v>
      </c>
      <c r="C12" s="629">
        <f>$C$34*B12/100</f>
        <v>18575.980036904384</v>
      </c>
      <c r="D12" s="630">
        <f>$D$34*B12/100</f>
        <v>38697.85495006643</v>
      </c>
      <c r="E12" s="629">
        <f>$E$34*B12/100</f>
        <v>12045.9016544799</v>
      </c>
      <c r="F12" s="630">
        <f>$F$34*B12/100</f>
        <v>23626.37096866982</v>
      </c>
      <c r="G12" s="629">
        <f>$G$34*B12/100</f>
        <v>36231.178332971336</v>
      </c>
      <c r="H12" s="629">
        <f>$H$34*B12/100</f>
        <v>28830.160339350565</v>
      </c>
      <c r="I12" s="629">
        <f>$I$34*B12/100</f>
        <v>12955.88287147854</v>
      </c>
      <c r="J12" s="630">
        <f>$J$34*B12/100</f>
        <v>22726.986903309949</v>
      </c>
      <c r="K12" s="629">
        <f>$K$34*B12/100</f>
        <v>12811.659435255078</v>
      </c>
      <c r="L12" s="630">
        <f>$L$34*B12/100</f>
        <v>-5598.4487082687019</v>
      </c>
      <c r="M12" s="629">
        <f>$M$34*B12/100</f>
        <v>15825.618935108296</v>
      </c>
      <c r="N12" s="629">
        <f>$N$34*B12/100</f>
        <v>12609.047026109793</v>
      </c>
      <c r="O12" s="632">
        <f t="shared" si="12"/>
        <v>229338.19274543537</v>
      </c>
    </row>
    <row r="13" spans="1:15" x14ac:dyDescent="0.2">
      <c r="A13" s="602" t="s">
        <v>152</v>
      </c>
      <c r="B13" s="639">
        <f>FFM!N14</f>
        <v>0.15255472373293125</v>
      </c>
      <c r="C13" s="629">
        <f t="shared" ref="C13:C25" si="13">$C$34*B13/100</f>
        <v>6383.2395668151303</v>
      </c>
      <c r="D13" s="630">
        <f t="shared" ref="D13:D26" si="14">$D$34*B13/100</f>
        <v>13297.692954955462</v>
      </c>
      <c r="E13" s="629">
        <f t="shared" ref="E13:E26" si="15">$E$34*B13/100</f>
        <v>4139.3173284037221</v>
      </c>
      <c r="F13" s="630">
        <f t="shared" ref="F13:F26" si="16">$F$34*B13/100</f>
        <v>8118.6987544048779</v>
      </c>
      <c r="G13" s="629">
        <f t="shared" ref="G13:G26" si="17">$G$34*B13/100</f>
        <v>12450.072116135752</v>
      </c>
      <c r="H13" s="629">
        <f t="shared" ref="H13:H26" si="18">$H$34*B13/100</f>
        <v>9906.8700456266579</v>
      </c>
      <c r="I13" s="629">
        <f t="shared" ref="I13:I26" si="19">$I$34*B13/100</f>
        <v>4452.0129761092248</v>
      </c>
      <c r="J13" s="630">
        <f t="shared" ref="J13:J26" si="20">$J$34*B13/100</f>
        <v>7809.6445919670023</v>
      </c>
      <c r="K13" s="629">
        <f t="shared" ref="K13:K26" si="21">$K$34*B13/100</f>
        <v>4402.4536665742935</v>
      </c>
      <c r="L13" s="630">
        <f t="shared" ref="L13:L26" si="22">$L$34*B13/100</f>
        <v>-1923.7875598708458</v>
      </c>
      <c r="M13" s="629">
        <f t="shared" ref="M13:M26" si="23">$M$34*B13/100</f>
        <v>5438.1366019575225</v>
      </c>
      <c r="N13" s="629">
        <f t="shared" ref="N13:N26" si="24">$N$34*B13/100</f>
        <v>4332.8302311369971</v>
      </c>
      <c r="O13" s="632">
        <f t="shared" si="12"/>
        <v>78807.181274215793</v>
      </c>
    </row>
    <row r="14" spans="1:15" x14ac:dyDescent="0.2">
      <c r="A14" s="602" t="s">
        <v>153</v>
      </c>
      <c r="B14" s="639">
        <f>FFM!N15</f>
        <v>0</v>
      </c>
      <c r="C14" s="629">
        <f t="shared" si="13"/>
        <v>0</v>
      </c>
      <c r="D14" s="630">
        <f t="shared" si="14"/>
        <v>0</v>
      </c>
      <c r="E14" s="629">
        <f t="shared" si="15"/>
        <v>0</v>
      </c>
      <c r="F14" s="630">
        <f t="shared" si="16"/>
        <v>0</v>
      </c>
      <c r="G14" s="629">
        <f t="shared" si="17"/>
        <v>0</v>
      </c>
      <c r="H14" s="629">
        <f t="shared" si="18"/>
        <v>0</v>
      </c>
      <c r="I14" s="629">
        <f t="shared" si="19"/>
        <v>0</v>
      </c>
      <c r="J14" s="630">
        <f t="shared" si="20"/>
        <v>0</v>
      </c>
      <c r="K14" s="629">
        <f t="shared" si="21"/>
        <v>0</v>
      </c>
      <c r="L14" s="630">
        <f t="shared" si="22"/>
        <v>0</v>
      </c>
      <c r="M14" s="629">
        <f t="shared" si="23"/>
        <v>0</v>
      </c>
      <c r="N14" s="629">
        <f t="shared" si="24"/>
        <v>0</v>
      </c>
      <c r="O14" s="632">
        <f t="shared" si="12"/>
        <v>0</v>
      </c>
    </row>
    <row r="15" spans="1:15" x14ac:dyDescent="0.2">
      <c r="A15" s="602" t="s">
        <v>154</v>
      </c>
      <c r="B15" s="639">
        <f>FFM!N16</f>
        <v>0</v>
      </c>
      <c r="C15" s="629">
        <f t="shared" si="13"/>
        <v>0</v>
      </c>
      <c r="D15" s="630">
        <f t="shared" si="14"/>
        <v>0</v>
      </c>
      <c r="E15" s="629">
        <f t="shared" si="15"/>
        <v>0</v>
      </c>
      <c r="F15" s="630">
        <f t="shared" si="16"/>
        <v>0</v>
      </c>
      <c r="G15" s="629">
        <f t="shared" si="17"/>
        <v>0</v>
      </c>
      <c r="H15" s="629">
        <f t="shared" si="18"/>
        <v>0</v>
      </c>
      <c r="I15" s="629">
        <f t="shared" si="19"/>
        <v>0</v>
      </c>
      <c r="J15" s="630">
        <f t="shared" si="20"/>
        <v>0</v>
      </c>
      <c r="K15" s="629">
        <f t="shared" si="21"/>
        <v>0</v>
      </c>
      <c r="L15" s="630">
        <f t="shared" si="22"/>
        <v>0</v>
      </c>
      <c r="M15" s="629">
        <f t="shared" si="23"/>
        <v>0</v>
      </c>
      <c r="N15" s="629">
        <f t="shared" si="24"/>
        <v>0</v>
      </c>
      <c r="O15" s="632">
        <f t="shared" si="12"/>
        <v>0</v>
      </c>
    </row>
    <row r="16" spans="1:15" x14ac:dyDescent="0.2">
      <c r="A16" s="602" t="s">
        <v>155</v>
      </c>
      <c r="B16" s="639">
        <f>FFM!N17</f>
        <v>0</v>
      </c>
      <c r="C16" s="629">
        <f t="shared" si="13"/>
        <v>0</v>
      </c>
      <c r="D16" s="630">
        <f t="shared" si="14"/>
        <v>0</v>
      </c>
      <c r="E16" s="629">
        <f t="shared" si="15"/>
        <v>0</v>
      </c>
      <c r="F16" s="630">
        <f t="shared" si="16"/>
        <v>0</v>
      </c>
      <c r="G16" s="629">
        <f t="shared" si="17"/>
        <v>0</v>
      </c>
      <c r="H16" s="629">
        <f t="shared" si="18"/>
        <v>0</v>
      </c>
      <c r="I16" s="629">
        <f t="shared" si="19"/>
        <v>0</v>
      </c>
      <c r="J16" s="630">
        <f t="shared" si="20"/>
        <v>0</v>
      </c>
      <c r="K16" s="629">
        <f t="shared" si="21"/>
        <v>0</v>
      </c>
      <c r="L16" s="630">
        <f t="shared" si="22"/>
        <v>0</v>
      </c>
      <c r="M16" s="629">
        <f t="shared" si="23"/>
        <v>0</v>
      </c>
      <c r="N16" s="629">
        <f t="shared" si="24"/>
        <v>0</v>
      </c>
      <c r="O16" s="632">
        <f t="shared" si="12"/>
        <v>0</v>
      </c>
    </row>
    <row r="17" spans="1:16" x14ac:dyDescent="0.2">
      <c r="A17" s="602" t="s">
        <v>156</v>
      </c>
      <c r="B17" s="639">
        <f>FFM!N18</f>
        <v>19.476953769785901</v>
      </c>
      <c r="C17" s="629">
        <f t="shared" si="13"/>
        <v>814960.42142868624</v>
      </c>
      <c r="D17" s="630">
        <f t="shared" si="14"/>
        <v>1697741.928869335</v>
      </c>
      <c r="E17" s="629">
        <f t="shared" si="15"/>
        <v>528474.57142613304</v>
      </c>
      <c r="F17" s="630">
        <f t="shared" si="16"/>
        <v>1036529.8198644238</v>
      </c>
      <c r="G17" s="629">
        <f t="shared" si="17"/>
        <v>1589524.552913805</v>
      </c>
      <c r="H17" s="629">
        <f t="shared" si="18"/>
        <v>1264829.0735313019</v>
      </c>
      <c r="I17" s="629">
        <f t="shared" si="19"/>
        <v>568397.02368028532</v>
      </c>
      <c r="J17" s="630">
        <f t="shared" si="20"/>
        <v>997072.28300899174</v>
      </c>
      <c r="K17" s="629">
        <f t="shared" si="21"/>
        <v>562069.69171012496</v>
      </c>
      <c r="L17" s="630">
        <f t="shared" si="22"/>
        <v>-245613.64243357957</v>
      </c>
      <c r="M17" s="629">
        <f t="shared" si="23"/>
        <v>694297.31573263113</v>
      </c>
      <c r="N17" s="629">
        <f t="shared" si="24"/>
        <v>553180.73435682897</v>
      </c>
      <c r="O17" s="632">
        <f t="shared" si="12"/>
        <v>10061463.774088968</v>
      </c>
    </row>
    <row r="18" spans="1:16" x14ac:dyDescent="0.2">
      <c r="A18" s="602" t="s">
        <v>157</v>
      </c>
      <c r="B18" s="639">
        <f>FFM!N19</f>
        <v>0</v>
      </c>
      <c r="C18" s="629">
        <f t="shared" si="13"/>
        <v>0</v>
      </c>
      <c r="D18" s="630">
        <f t="shared" si="14"/>
        <v>0</v>
      </c>
      <c r="E18" s="629">
        <f t="shared" si="15"/>
        <v>0</v>
      </c>
      <c r="F18" s="630">
        <f t="shared" si="16"/>
        <v>0</v>
      </c>
      <c r="G18" s="629">
        <f t="shared" si="17"/>
        <v>0</v>
      </c>
      <c r="H18" s="629">
        <f t="shared" si="18"/>
        <v>0</v>
      </c>
      <c r="I18" s="629">
        <f t="shared" si="19"/>
        <v>0</v>
      </c>
      <c r="J18" s="630">
        <f t="shared" si="20"/>
        <v>0</v>
      </c>
      <c r="K18" s="629">
        <f t="shared" si="21"/>
        <v>0</v>
      </c>
      <c r="L18" s="630">
        <f t="shared" si="22"/>
        <v>0</v>
      </c>
      <c r="M18" s="629">
        <f t="shared" si="23"/>
        <v>0</v>
      </c>
      <c r="N18" s="629">
        <f t="shared" si="24"/>
        <v>0</v>
      </c>
      <c r="O18" s="632">
        <f t="shared" si="12"/>
        <v>0</v>
      </c>
    </row>
    <row r="19" spans="1:16" x14ac:dyDescent="0.2">
      <c r="A19" s="602" t="s">
        <v>158</v>
      </c>
      <c r="B19" s="639">
        <f>FFM!N20</f>
        <v>0</v>
      </c>
      <c r="C19" s="629">
        <f t="shared" si="13"/>
        <v>0</v>
      </c>
      <c r="D19" s="630">
        <f t="shared" si="14"/>
        <v>0</v>
      </c>
      <c r="E19" s="629">
        <f t="shared" si="15"/>
        <v>0</v>
      </c>
      <c r="F19" s="630">
        <f t="shared" si="16"/>
        <v>0</v>
      </c>
      <c r="G19" s="629">
        <f t="shared" si="17"/>
        <v>0</v>
      </c>
      <c r="H19" s="629">
        <f t="shared" si="18"/>
        <v>0</v>
      </c>
      <c r="I19" s="629">
        <f t="shared" si="19"/>
        <v>0</v>
      </c>
      <c r="J19" s="630">
        <f t="shared" si="20"/>
        <v>0</v>
      </c>
      <c r="K19" s="629">
        <f t="shared" si="21"/>
        <v>0</v>
      </c>
      <c r="L19" s="630">
        <f t="shared" si="22"/>
        <v>0</v>
      </c>
      <c r="M19" s="629">
        <f t="shared" si="23"/>
        <v>0</v>
      </c>
      <c r="N19" s="629">
        <f t="shared" si="24"/>
        <v>0</v>
      </c>
      <c r="O19" s="632">
        <f t="shared" si="12"/>
        <v>0</v>
      </c>
    </row>
    <row r="20" spans="1:16" x14ac:dyDescent="0.2">
      <c r="A20" s="602" t="s">
        <v>285</v>
      </c>
      <c r="B20" s="639">
        <f>FFM!N21</f>
        <v>0</v>
      </c>
      <c r="C20" s="629">
        <f t="shared" si="13"/>
        <v>0</v>
      </c>
      <c r="D20" s="630">
        <f t="shared" si="14"/>
        <v>0</v>
      </c>
      <c r="E20" s="629">
        <f t="shared" si="15"/>
        <v>0</v>
      </c>
      <c r="F20" s="630">
        <f t="shared" si="16"/>
        <v>0</v>
      </c>
      <c r="G20" s="629">
        <f t="shared" si="17"/>
        <v>0</v>
      </c>
      <c r="H20" s="629">
        <f t="shared" si="18"/>
        <v>0</v>
      </c>
      <c r="I20" s="629">
        <f t="shared" si="19"/>
        <v>0</v>
      </c>
      <c r="J20" s="630">
        <f t="shared" si="20"/>
        <v>0</v>
      </c>
      <c r="K20" s="629">
        <f t="shared" si="21"/>
        <v>0</v>
      </c>
      <c r="L20" s="630">
        <f t="shared" si="22"/>
        <v>0</v>
      </c>
      <c r="M20" s="629">
        <f t="shared" si="23"/>
        <v>0</v>
      </c>
      <c r="N20" s="629">
        <f t="shared" si="24"/>
        <v>0</v>
      </c>
      <c r="O20" s="632">
        <f t="shared" si="12"/>
        <v>0</v>
      </c>
    </row>
    <row r="21" spans="1:16" x14ac:dyDescent="0.2">
      <c r="A21" s="602" t="s">
        <v>286</v>
      </c>
      <c r="B21" s="639">
        <f>FFM!N22</f>
        <v>0</v>
      </c>
      <c r="C21" s="629">
        <f t="shared" si="13"/>
        <v>0</v>
      </c>
      <c r="D21" s="630">
        <f t="shared" si="14"/>
        <v>0</v>
      </c>
      <c r="E21" s="629">
        <f t="shared" si="15"/>
        <v>0</v>
      </c>
      <c r="F21" s="630">
        <f t="shared" si="16"/>
        <v>0</v>
      </c>
      <c r="G21" s="629">
        <f t="shared" si="17"/>
        <v>0</v>
      </c>
      <c r="H21" s="629">
        <f t="shared" si="18"/>
        <v>0</v>
      </c>
      <c r="I21" s="629">
        <f t="shared" si="19"/>
        <v>0</v>
      </c>
      <c r="J21" s="630">
        <f t="shared" si="20"/>
        <v>0</v>
      </c>
      <c r="K21" s="629">
        <f t="shared" si="21"/>
        <v>0</v>
      </c>
      <c r="L21" s="630">
        <f t="shared" si="22"/>
        <v>0</v>
      </c>
      <c r="M21" s="629">
        <f t="shared" si="23"/>
        <v>0</v>
      </c>
      <c r="N21" s="629">
        <f t="shared" si="24"/>
        <v>0</v>
      </c>
      <c r="O21" s="632">
        <f t="shared" si="12"/>
        <v>0</v>
      </c>
    </row>
    <row r="22" spans="1:16" x14ac:dyDescent="0.2">
      <c r="A22" s="602" t="s">
        <v>287</v>
      </c>
      <c r="B22" s="639">
        <f>FFM!N23</f>
        <v>61.972463263906889</v>
      </c>
      <c r="C22" s="629">
        <f t="shared" si="13"/>
        <v>2593070.0136935483</v>
      </c>
      <c r="D22" s="630">
        <f t="shared" si="14"/>
        <v>5401935.5676483605</v>
      </c>
      <c r="E22" s="629">
        <f t="shared" si="15"/>
        <v>1681519.1610928685</v>
      </c>
      <c r="F22" s="630">
        <f t="shared" si="16"/>
        <v>3298067.395073873</v>
      </c>
      <c r="G22" s="629">
        <f t="shared" si="17"/>
        <v>5057605.677297432</v>
      </c>
      <c r="H22" s="629">
        <f t="shared" si="18"/>
        <v>4024478.0688516074</v>
      </c>
      <c r="I22" s="629">
        <f t="shared" si="19"/>
        <v>1808545.8375931499</v>
      </c>
      <c r="J22" s="630">
        <f t="shared" si="20"/>
        <v>3172520.0029015499</v>
      </c>
      <c r="K22" s="629">
        <f t="shared" si="21"/>
        <v>1788413.308003867</v>
      </c>
      <c r="L22" s="630">
        <f t="shared" si="22"/>
        <v>-781502.21090742422</v>
      </c>
      <c r="M22" s="629">
        <f t="shared" si="23"/>
        <v>2209139.8584216395</v>
      </c>
      <c r="N22" s="629">
        <f t="shared" si="24"/>
        <v>1760130.1077897695</v>
      </c>
      <c r="O22" s="632">
        <f t="shared" si="12"/>
        <v>32013922.787460241</v>
      </c>
    </row>
    <row r="23" spans="1:16" x14ac:dyDescent="0.2">
      <c r="A23" s="602" t="s">
        <v>162</v>
      </c>
      <c r="B23" s="639">
        <f>FFM!N24</f>
        <v>0</v>
      </c>
      <c r="C23" s="629">
        <f t="shared" si="13"/>
        <v>0</v>
      </c>
      <c r="D23" s="630">
        <f t="shared" si="14"/>
        <v>0</v>
      </c>
      <c r="E23" s="629">
        <f t="shared" si="15"/>
        <v>0</v>
      </c>
      <c r="F23" s="630">
        <f t="shared" si="16"/>
        <v>0</v>
      </c>
      <c r="G23" s="629">
        <f t="shared" si="17"/>
        <v>0</v>
      </c>
      <c r="H23" s="629">
        <f t="shared" si="18"/>
        <v>0</v>
      </c>
      <c r="I23" s="629">
        <f t="shared" si="19"/>
        <v>0</v>
      </c>
      <c r="J23" s="630">
        <f t="shared" si="20"/>
        <v>0</v>
      </c>
      <c r="K23" s="629">
        <f t="shared" si="21"/>
        <v>0</v>
      </c>
      <c r="L23" s="630">
        <f t="shared" si="22"/>
        <v>0</v>
      </c>
      <c r="M23" s="629">
        <f t="shared" si="23"/>
        <v>0</v>
      </c>
      <c r="N23" s="629">
        <f t="shared" si="24"/>
        <v>0</v>
      </c>
      <c r="O23" s="632">
        <f t="shared" si="12"/>
        <v>0</v>
      </c>
    </row>
    <row r="24" spans="1:16" x14ac:dyDescent="0.2">
      <c r="A24" s="602" t="s">
        <v>163</v>
      </c>
      <c r="B24" s="639">
        <f>FFM!N25</f>
        <v>0</v>
      </c>
      <c r="C24" s="629">
        <f t="shared" si="13"/>
        <v>0</v>
      </c>
      <c r="D24" s="630">
        <f t="shared" si="14"/>
        <v>0</v>
      </c>
      <c r="E24" s="629">
        <f t="shared" si="15"/>
        <v>0</v>
      </c>
      <c r="F24" s="630">
        <f t="shared" si="16"/>
        <v>0</v>
      </c>
      <c r="G24" s="629">
        <f t="shared" si="17"/>
        <v>0</v>
      </c>
      <c r="H24" s="629">
        <f t="shared" si="18"/>
        <v>0</v>
      </c>
      <c r="I24" s="629">
        <f t="shared" si="19"/>
        <v>0</v>
      </c>
      <c r="J24" s="630">
        <f t="shared" si="20"/>
        <v>0</v>
      </c>
      <c r="K24" s="629">
        <f t="shared" si="21"/>
        <v>0</v>
      </c>
      <c r="L24" s="630">
        <f t="shared" si="22"/>
        <v>0</v>
      </c>
      <c r="M24" s="629">
        <f t="shared" si="23"/>
        <v>0</v>
      </c>
      <c r="N24" s="629">
        <f t="shared" si="24"/>
        <v>0</v>
      </c>
      <c r="O24" s="632">
        <f t="shared" si="12"/>
        <v>0</v>
      </c>
    </row>
    <row r="25" spans="1:16" x14ac:dyDescent="0.2">
      <c r="A25" s="602" t="s">
        <v>164</v>
      </c>
      <c r="B25" s="639">
        <f>FFM!N26</f>
        <v>17.954076002816439</v>
      </c>
      <c r="C25" s="629">
        <f t="shared" si="13"/>
        <v>751239.72252354887</v>
      </c>
      <c r="D25" s="630">
        <f t="shared" si="14"/>
        <v>1564997.6882613553</v>
      </c>
      <c r="E25" s="629">
        <f t="shared" si="15"/>
        <v>487153.82975645567</v>
      </c>
      <c r="F25" s="630">
        <f t="shared" si="16"/>
        <v>955484.89691958996</v>
      </c>
      <c r="G25" s="629">
        <f t="shared" si="17"/>
        <v>1465241.6886478537</v>
      </c>
      <c r="H25" s="629">
        <f t="shared" si="18"/>
        <v>1165933.7278902687</v>
      </c>
      <c r="I25" s="629">
        <f t="shared" si="19"/>
        <v>523954.79722097615</v>
      </c>
      <c r="J25" s="630">
        <f t="shared" si="20"/>
        <v>919112.49372144102</v>
      </c>
      <c r="K25" s="629">
        <f t="shared" si="21"/>
        <v>518122.1911353399</v>
      </c>
      <c r="L25" s="630">
        <f t="shared" si="22"/>
        <v>-226409.43012463406</v>
      </c>
      <c r="M25" s="629">
        <f t="shared" si="23"/>
        <v>640011.1086443332</v>
      </c>
      <c r="N25" s="629">
        <f t="shared" si="24"/>
        <v>509928.24983459892</v>
      </c>
      <c r="O25" s="632">
        <f t="shared" si="12"/>
        <v>9274770.9644311275</v>
      </c>
    </row>
    <row r="26" spans="1:16" ht="13.5" thickBot="1" x14ac:dyDescent="0.25">
      <c r="A26" s="602" t="s">
        <v>165</v>
      </c>
      <c r="B26" s="639">
        <f>FFM!N27</f>
        <v>0</v>
      </c>
      <c r="C26" s="629">
        <f t="shared" si="0"/>
        <v>0</v>
      </c>
      <c r="D26" s="630">
        <f t="shared" si="14"/>
        <v>0</v>
      </c>
      <c r="E26" s="629">
        <f t="shared" si="15"/>
        <v>0</v>
      </c>
      <c r="F26" s="630">
        <f t="shared" si="16"/>
        <v>0</v>
      </c>
      <c r="G26" s="629">
        <f t="shared" si="17"/>
        <v>0</v>
      </c>
      <c r="H26" s="629">
        <f t="shared" si="18"/>
        <v>0</v>
      </c>
      <c r="I26" s="629">
        <f t="shared" si="19"/>
        <v>0</v>
      </c>
      <c r="J26" s="630">
        <f t="shared" si="20"/>
        <v>0</v>
      </c>
      <c r="K26" s="629">
        <f t="shared" si="21"/>
        <v>0</v>
      </c>
      <c r="L26" s="630">
        <f t="shared" si="22"/>
        <v>0</v>
      </c>
      <c r="M26" s="629">
        <f t="shared" si="23"/>
        <v>0</v>
      </c>
      <c r="N26" s="629">
        <f t="shared" si="24"/>
        <v>0</v>
      </c>
      <c r="O26" s="632">
        <f t="shared" si="12"/>
        <v>0</v>
      </c>
    </row>
    <row r="27" spans="1:16" ht="13.5" thickBot="1" x14ac:dyDescent="0.25">
      <c r="A27" s="607" t="s">
        <v>288</v>
      </c>
      <c r="B27" s="641">
        <f>SUM(B7:B26)</f>
        <v>99.999999999999986</v>
      </c>
      <c r="C27" s="637">
        <f t="shared" ref="C27:N27" si="25">SUM(C7:C26)</f>
        <v>4184229.3772495026</v>
      </c>
      <c r="D27" s="637">
        <f t="shared" si="25"/>
        <v>8716670.7326840721</v>
      </c>
      <c r="E27" s="637">
        <f t="shared" si="25"/>
        <v>2713332.7812583409</v>
      </c>
      <c r="F27" s="637">
        <f t="shared" si="25"/>
        <v>5321827.1815809608</v>
      </c>
      <c r="G27" s="637">
        <f t="shared" si="25"/>
        <v>8161053.1693081968</v>
      </c>
      <c r="H27" s="637">
        <f t="shared" si="25"/>
        <v>6493977.9006581558</v>
      </c>
      <c r="I27" s="637">
        <f t="shared" si="25"/>
        <v>2918305.5543419989</v>
      </c>
      <c r="J27" s="637">
        <f t="shared" si="25"/>
        <v>5119241.41112726</v>
      </c>
      <c r="K27" s="637">
        <f t="shared" si="25"/>
        <v>2885819.3039511614</v>
      </c>
      <c r="L27" s="637">
        <f t="shared" si="25"/>
        <v>-1261047.5197337773</v>
      </c>
      <c r="M27" s="637">
        <f t="shared" si="25"/>
        <v>3564712.0383356698</v>
      </c>
      <c r="N27" s="637">
        <f t="shared" si="25"/>
        <v>2840180.9692384442</v>
      </c>
      <c r="O27" s="637">
        <f t="shared" si="12"/>
        <v>51658302.899999991</v>
      </c>
    </row>
    <row r="28" spans="1:16" x14ac:dyDescent="0.2">
      <c r="A28" s="610"/>
      <c r="B28" s="610"/>
      <c r="C28" s="610"/>
      <c r="D28" s="610"/>
      <c r="E28" s="610"/>
      <c r="F28" s="610"/>
      <c r="G28" s="610"/>
      <c r="H28" s="610"/>
      <c r="I28" s="610"/>
      <c r="J28" s="610"/>
      <c r="K28" s="610"/>
      <c r="L28" s="610"/>
      <c r="M28" s="610"/>
      <c r="N28" s="610"/>
      <c r="O28" s="610"/>
      <c r="P28" s="606"/>
    </row>
    <row r="29" spans="1:16" x14ac:dyDescent="0.2">
      <c r="A29" s="611" t="s">
        <v>289</v>
      </c>
      <c r="M29" s="606"/>
      <c r="O29" s="606"/>
    </row>
    <row r="30" spans="1:16" x14ac:dyDescent="0.2">
      <c r="A30" s="597" t="s">
        <v>168</v>
      </c>
      <c r="B30" s="642"/>
      <c r="C30" s="606">
        <f>'X22.55 POE'!B22</f>
        <v>49379080.257498354</v>
      </c>
      <c r="D30" s="606">
        <f>'X22.55 POE'!C22</f>
        <v>69989723.108946905</v>
      </c>
      <c r="E30" s="606">
        <f>'X22.55 POE'!D22</f>
        <v>43619514.60419447</v>
      </c>
      <c r="F30" s="606">
        <f>'X22.55 POE'!E22</f>
        <v>55895224.938603207</v>
      </c>
      <c r="G30" s="606">
        <f>'X22.55 POE'!F22</f>
        <v>59476037.564360663</v>
      </c>
      <c r="H30" s="606">
        <f>'X22.55 POE'!G22</f>
        <v>56212807.002193861</v>
      </c>
      <c r="I30" s="606">
        <f>'X22.55 POE'!H22</f>
        <v>48393808.181140006</v>
      </c>
      <c r="J30" s="606">
        <f>'X22.55 POE'!I22</f>
        <v>50316509.037090868</v>
      </c>
      <c r="K30" s="606">
        <f>'X22.55 POE'!J22</f>
        <v>46708001.679837205</v>
      </c>
      <c r="L30" s="606">
        <f>'X22.55 POE'!K22</f>
        <v>32798736.267554075</v>
      </c>
      <c r="M30" s="606">
        <f>'X22.55 POE'!L22</f>
        <v>45124076.461118899</v>
      </c>
      <c r="N30" s="606">
        <f>'X22.55 POE'!M22</f>
        <v>46754367.897461489</v>
      </c>
      <c r="O30" s="606">
        <f>SUM(C30:N30)</f>
        <v>604667887.00000012</v>
      </c>
      <c r="P30" s="606"/>
    </row>
    <row r="31" spans="1:16" x14ac:dyDescent="0.2">
      <c r="A31" s="597" t="s">
        <v>356</v>
      </c>
      <c r="B31" s="643"/>
      <c r="C31" s="606">
        <f>'F.F.M.ESTIIMACIONES 2014'!C27</f>
        <v>35431649.000000007</v>
      </c>
      <c r="D31" s="606">
        <f>'F.F.M.ESTIIMACIONES 2014'!D27</f>
        <v>40934153.999999993</v>
      </c>
      <c r="E31" s="606">
        <f>'F.F.M.ESTIIMACIONES 2014'!E27</f>
        <v>34575072</v>
      </c>
      <c r="F31" s="606">
        <f>'F.F.M.ESTIIMACIONES 2014'!F27</f>
        <v>38155801</v>
      </c>
      <c r="G31" s="606">
        <f>'F.F.M.ESTIIMACIONES 2014'!G27</f>
        <v>32272527</v>
      </c>
      <c r="H31" s="606">
        <f>'F.F.M.ESTIIMACIONES 2014'!H27</f>
        <v>34566214.000000007</v>
      </c>
      <c r="I31" s="606">
        <f>'F.F.M.ESTIIMACIONES 2014'!I27</f>
        <v>38666123.000000007</v>
      </c>
      <c r="J31" s="606">
        <f>'F.F.M.ESTIIMACIONES 2014'!J27</f>
        <v>33252371</v>
      </c>
      <c r="K31" s="606">
        <f>'F.F.M.ESTIIMACIONES 2014'!K27</f>
        <v>37088604</v>
      </c>
      <c r="L31" s="606">
        <f>'F.F.M.ESTIIMACIONES 2014'!L27</f>
        <v>37002228</v>
      </c>
      <c r="M31" s="606">
        <f>'F.F.M.ESTIIMACIONES 2014'!M27</f>
        <v>33241703</v>
      </c>
      <c r="N31" s="606">
        <f>'F.F.M.ESTIIMACIONES 2014'!N27</f>
        <v>37287098.000000007</v>
      </c>
      <c r="O31" s="606">
        <f>SUM(C31:N31)</f>
        <v>432473544</v>
      </c>
      <c r="P31" s="606"/>
    </row>
    <row r="32" spans="1:16" x14ac:dyDescent="0.2">
      <c r="A32" s="597" t="s">
        <v>345</v>
      </c>
      <c r="B32" s="643"/>
      <c r="C32" s="606">
        <f>C30-C31</f>
        <v>13947431.257498346</v>
      </c>
      <c r="D32" s="606">
        <f t="shared" ref="D32:N32" si="26">D30-D31</f>
        <v>29055569.108946912</v>
      </c>
      <c r="E32" s="606">
        <f t="shared" si="26"/>
        <v>9044442.6041944697</v>
      </c>
      <c r="F32" s="606">
        <f t="shared" si="26"/>
        <v>17739423.938603207</v>
      </c>
      <c r="G32" s="606">
        <f t="shared" si="26"/>
        <v>27203510.564360663</v>
      </c>
      <c r="H32" s="606">
        <f t="shared" si="26"/>
        <v>21646593.002193853</v>
      </c>
      <c r="I32" s="606">
        <f t="shared" si="26"/>
        <v>9727685.1811399981</v>
      </c>
      <c r="J32" s="606">
        <f t="shared" si="26"/>
        <v>17064138.037090868</v>
      </c>
      <c r="K32" s="606">
        <f t="shared" si="26"/>
        <v>9619397.6798372045</v>
      </c>
      <c r="L32" s="606">
        <f t="shared" si="26"/>
        <v>-4203491.7324459255</v>
      </c>
      <c r="M32" s="606">
        <f t="shared" si="26"/>
        <v>11882373.461118899</v>
      </c>
      <c r="N32" s="606">
        <f t="shared" si="26"/>
        <v>9467269.8974614814</v>
      </c>
      <c r="O32" s="606">
        <f t="shared" ref="O32:O34" si="27">SUM(C32:N32)</f>
        <v>172194342.99999997</v>
      </c>
      <c r="P32" s="606"/>
    </row>
    <row r="33" spans="1:16" x14ac:dyDescent="0.2">
      <c r="A33" s="597">
        <v>0.7</v>
      </c>
      <c r="C33" s="606">
        <f>C32*$A$33</f>
        <v>9763201.8802488409</v>
      </c>
      <c r="D33" s="606">
        <f t="shared" ref="D33:N33" si="28">D32*$A$33</f>
        <v>20338898.376262836</v>
      </c>
      <c r="E33" s="606">
        <f t="shared" si="28"/>
        <v>6331109.8229361288</v>
      </c>
      <c r="F33" s="606">
        <f t="shared" si="28"/>
        <v>12417596.757022245</v>
      </c>
      <c r="G33" s="606">
        <f t="shared" si="28"/>
        <v>19042457.395052463</v>
      </c>
      <c r="H33" s="606">
        <f t="shared" si="28"/>
        <v>15152615.101535697</v>
      </c>
      <c r="I33" s="606">
        <f t="shared" si="28"/>
        <v>6809379.6267979983</v>
      </c>
      <c r="J33" s="606">
        <f t="shared" si="28"/>
        <v>11944896.625963606</v>
      </c>
      <c r="K33" s="606">
        <f t="shared" si="28"/>
        <v>6733578.3758860426</v>
      </c>
      <c r="L33" s="606">
        <f t="shared" si="28"/>
        <v>-2942444.2127121477</v>
      </c>
      <c r="M33" s="606">
        <f t="shared" si="28"/>
        <v>8317661.4227832286</v>
      </c>
      <c r="N33" s="606">
        <f t="shared" si="28"/>
        <v>6627088.9282230362</v>
      </c>
      <c r="O33" s="606">
        <f t="shared" si="27"/>
        <v>120536040.09999996</v>
      </c>
      <c r="P33" s="606"/>
    </row>
    <row r="34" spans="1:16" x14ac:dyDescent="0.2">
      <c r="A34" s="597">
        <v>0.3</v>
      </c>
      <c r="C34" s="606">
        <f>C32*$A$34</f>
        <v>4184229.3772495035</v>
      </c>
      <c r="D34" s="606">
        <f t="shared" ref="D34:N34" si="29">D32*$A$34</f>
        <v>8716670.732684074</v>
      </c>
      <c r="E34" s="606">
        <f t="shared" si="29"/>
        <v>2713332.7812583409</v>
      </c>
      <c r="F34" s="606">
        <f t="shared" si="29"/>
        <v>5321827.1815809617</v>
      </c>
      <c r="G34" s="606">
        <f t="shared" si="29"/>
        <v>8161053.1693081986</v>
      </c>
      <c r="H34" s="606">
        <f t="shared" si="29"/>
        <v>6493977.9006581558</v>
      </c>
      <c r="I34" s="606">
        <f t="shared" si="29"/>
        <v>2918305.5543419993</v>
      </c>
      <c r="J34" s="606">
        <f t="shared" si="29"/>
        <v>5119241.41112726</v>
      </c>
      <c r="K34" s="606">
        <f t="shared" si="29"/>
        <v>2885819.3039511614</v>
      </c>
      <c r="L34" s="606">
        <f t="shared" si="29"/>
        <v>-1261047.5197337775</v>
      </c>
      <c r="M34" s="606">
        <f t="shared" si="29"/>
        <v>3564712.0383356698</v>
      </c>
      <c r="N34" s="606">
        <f t="shared" si="29"/>
        <v>2840180.9692384442</v>
      </c>
      <c r="O34" s="606">
        <f t="shared" si="27"/>
        <v>51658302.899999991</v>
      </c>
      <c r="P34" s="606"/>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8"/>
  <sheetViews>
    <sheetView topLeftCell="A5" workbookViewId="0">
      <selection activeCell="C32" sqref="C32"/>
    </sheetView>
  </sheetViews>
  <sheetFormatPr baseColWidth="10" defaultRowHeight="12.75" x14ac:dyDescent="0.2"/>
  <cols>
    <col min="1" max="1" width="16" style="597" customWidth="1"/>
    <col min="2" max="2" width="9.28515625" style="597" bestFit="1" customWidth="1"/>
    <col min="3" max="3" width="13.28515625" style="597" bestFit="1" customWidth="1"/>
    <col min="4" max="14" width="12.7109375" style="597" bestFit="1" customWidth="1"/>
    <col min="15" max="15" width="14.85546875" style="597" customWidth="1"/>
    <col min="16" max="16" width="13.7109375" style="597" bestFit="1" customWidth="1"/>
    <col min="17"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355</v>
      </c>
      <c r="B4" s="1255"/>
      <c r="C4" s="1255"/>
      <c r="D4" s="1255"/>
      <c r="E4" s="1255"/>
      <c r="F4" s="1255"/>
      <c r="G4" s="1255"/>
      <c r="H4" s="1255"/>
      <c r="I4" s="1255"/>
      <c r="J4" s="1255"/>
      <c r="K4" s="1255"/>
      <c r="L4" s="1255"/>
      <c r="M4" s="1255"/>
      <c r="N4" s="1255"/>
      <c r="O4" s="1255"/>
    </row>
    <row r="5" spans="1:15" ht="13.5" thickBot="1" x14ac:dyDescent="0.25"/>
    <row r="6" spans="1:15" ht="34.5" thickBot="1" x14ac:dyDescent="0.25">
      <c r="A6" s="598" t="s">
        <v>13</v>
      </c>
      <c r="B6" s="644" t="s">
        <v>357</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03">
        <f>(FFM!G8+FFM!J8)/2</f>
        <v>2.2656376894140999</v>
      </c>
      <c r="C7" s="629">
        <f t="shared" ref="C7:C26" si="0">$C$32*B7/100</f>
        <v>221198.7814925038</v>
      </c>
      <c r="D7" s="630">
        <f t="shared" ref="D7:D26" si="1">$D$32*B7/100</f>
        <v>460805.74722424318</v>
      </c>
      <c r="E7" s="629">
        <f t="shared" ref="E7:E26" si="2">$E$32*B7/100</f>
        <v>143440.01030663922</v>
      </c>
      <c r="F7" s="630">
        <f t="shared" ref="F7:F26" si="3">$F$32*B7/100</f>
        <v>281337.75224655902</v>
      </c>
      <c r="G7" s="629">
        <f t="shared" ref="G7:G26" si="4">$G$32*B7/100</f>
        <v>431433.09173293097</v>
      </c>
      <c r="H7" s="629">
        <f t="shared" ref="H7:H26" si="5">$H$32*B7/100</f>
        <v>343303.35867224529</v>
      </c>
      <c r="I7" s="631">
        <f t="shared" ref="I7:I26" si="6">$I$32*B7/100</f>
        <v>154275.87124002064</v>
      </c>
      <c r="J7" s="630">
        <f t="shared" ref="J7:J26" si="7">$J$32*B7/100</f>
        <v>270628.07991938462</v>
      </c>
      <c r="K7" s="629">
        <f t="shared" ref="K7:K26" si="8">$K$32*B7/100</f>
        <v>152558.48953031201</v>
      </c>
      <c r="L7" s="630">
        <f t="shared" ref="L7:L26" si="9">$L$32*B7/100</f>
        <v>-66665.1250731904</v>
      </c>
      <c r="M7" s="629">
        <f t="shared" ref="M7:M26" si="10">$M$32*B7/100</f>
        <v>188448.07207243389</v>
      </c>
      <c r="N7" s="629">
        <f t="shared" ref="N7:N26" si="11">$N$32*B7/100</f>
        <v>150145.82446881002</v>
      </c>
      <c r="O7" s="632">
        <f t="shared" ref="O7:O27" si="12">SUM(C7:N7)</f>
        <v>2730909.9538328927</v>
      </c>
    </row>
    <row r="8" spans="1:15" x14ac:dyDescent="0.2">
      <c r="A8" s="602" t="s">
        <v>147</v>
      </c>
      <c r="B8" s="603">
        <f>(FFM!G9+FFM!J9)/2</f>
        <v>1.0526991118961988</v>
      </c>
      <c r="C8" s="629">
        <f t="shared" si="0"/>
        <v>102777.13948601253</v>
      </c>
      <c r="D8" s="630">
        <f t="shared" si="1"/>
        <v>214107.40257638929</v>
      </c>
      <c r="E8" s="629">
        <f t="shared" si="2"/>
        <v>66647.536879221632</v>
      </c>
      <c r="F8" s="630">
        <f t="shared" si="3"/>
        <v>130719.93078002436</v>
      </c>
      <c r="G8" s="629">
        <f t="shared" si="4"/>
        <v>200459.7798809293</v>
      </c>
      <c r="H8" s="629">
        <f t="shared" si="5"/>
        <v>159511.44460291558</v>
      </c>
      <c r="I8" s="629">
        <f t="shared" si="6"/>
        <v>71682.278856943216</v>
      </c>
      <c r="J8" s="630">
        <f t="shared" si="7"/>
        <v>125743.82069843789</v>
      </c>
      <c r="K8" s="629">
        <f t="shared" si="8"/>
        <v>70884.319761786857</v>
      </c>
      <c r="L8" s="630">
        <f t="shared" si="9"/>
        <v>-30975.084095261878</v>
      </c>
      <c r="M8" s="629">
        <f t="shared" si="10"/>
        <v>87559.947928171779</v>
      </c>
      <c r="N8" s="629">
        <f t="shared" si="11"/>
        <v>69763.306291975226</v>
      </c>
      <c r="O8" s="632">
        <f t="shared" si="12"/>
        <v>1268881.8236475459</v>
      </c>
    </row>
    <row r="9" spans="1:15" x14ac:dyDescent="0.2">
      <c r="A9" s="602" t="s">
        <v>148</v>
      </c>
      <c r="B9" s="603">
        <f>(FFM!G10+FFM!J10)/2</f>
        <v>0.67618370307892373</v>
      </c>
      <c r="C9" s="629">
        <f t="shared" si="0"/>
        <v>66017.180012937722</v>
      </c>
      <c r="D9" s="630">
        <f t="shared" si="1"/>
        <v>137528.31620607313</v>
      </c>
      <c r="E9" s="629">
        <f t="shared" si="2"/>
        <v>42809.932846723001</v>
      </c>
      <c r="F9" s="630">
        <f t="shared" si="3"/>
        <v>83965.765585041358</v>
      </c>
      <c r="G9" s="629">
        <f t="shared" si="4"/>
        <v>128761.9935710921</v>
      </c>
      <c r="H9" s="629">
        <f t="shared" si="5"/>
        <v>102459.5139068603</v>
      </c>
      <c r="I9" s="629">
        <f t="shared" si="6"/>
        <v>46043.915317184503</v>
      </c>
      <c r="J9" s="630">
        <f t="shared" si="7"/>
        <v>80769.444334390122</v>
      </c>
      <c r="K9" s="629">
        <f t="shared" si="8"/>
        <v>45531.359611787891</v>
      </c>
      <c r="L9" s="630">
        <f t="shared" si="9"/>
        <v>-19896.328238548482</v>
      </c>
      <c r="M9" s="629">
        <f t="shared" si="10"/>
        <v>56242.671018142726</v>
      </c>
      <c r="N9" s="629">
        <f t="shared" si="11"/>
        <v>44811.295321191887</v>
      </c>
      <c r="O9" s="632">
        <f t="shared" si="12"/>
        <v>815045.05949287629</v>
      </c>
    </row>
    <row r="10" spans="1:15" x14ac:dyDescent="0.2">
      <c r="A10" s="602" t="s">
        <v>283</v>
      </c>
      <c r="B10" s="603">
        <f>(FFM!G11+FFM!J11)/2</f>
        <v>28.600676757470438</v>
      </c>
      <c r="C10" s="629">
        <f t="shared" si="0"/>
        <v>2792341.8109492469</v>
      </c>
      <c r="D10" s="630">
        <f t="shared" si="1"/>
        <v>5817062.5806253375</v>
      </c>
      <c r="E10" s="629">
        <f t="shared" si="2"/>
        <v>1810740.2556184211</v>
      </c>
      <c r="F10" s="630">
        <f t="shared" si="3"/>
        <v>3551516.7095220643</v>
      </c>
      <c r="G10" s="629">
        <f t="shared" si="4"/>
        <v>5446271.6862379797</v>
      </c>
      <c r="H10" s="629">
        <f t="shared" si="5"/>
        <v>4333750.4654938756</v>
      </c>
      <c r="I10" s="629">
        <f t="shared" si="6"/>
        <v>1947528.6562495423</v>
      </c>
      <c r="J10" s="630">
        <f t="shared" si="7"/>
        <v>3416321.2730058436</v>
      </c>
      <c r="K10" s="629">
        <f t="shared" si="8"/>
        <v>1925848.9854980949</v>
      </c>
      <c r="L10" s="630">
        <f t="shared" si="9"/>
        <v>-841558.9580466972</v>
      </c>
      <c r="M10" s="629">
        <f t="shared" si="10"/>
        <v>2378907.4573110477</v>
      </c>
      <c r="N10" s="629">
        <f t="shared" si="11"/>
        <v>1895392.2827911826</v>
      </c>
      <c r="O10" s="632">
        <f t="shared" si="12"/>
        <v>34474123.205255941</v>
      </c>
    </row>
    <row r="11" spans="1:15" x14ac:dyDescent="0.2">
      <c r="A11" s="602" t="s">
        <v>150</v>
      </c>
      <c r="B11" s="603">
        <f>(FFM!G12+FFM!J12)/2</f>
        <v>6.8479158979647945</v>
      </c>
      <c r="C11" s="629">
        <f t="shared" si="0"/>
        <v>668575.85370795813</v>
      </c>
      <c r="D11" s="630">
        <f t="shared" si="1"/>
        <v>1392790.6553790062</v>
      </c>
      <c r="E11" s="629">
        <f t="shared" si="2"/>
        <v>433549.07608245395</v>
      </c>
      <c r="F11" s="630">
        <f t="shared" si="3"/>
        <v>850346.5824692871</v>
      </c>
      <c r="G11" s="629">
        <f t="shared" si="4"/>
        <v>1304011.4673189702</v>
      </c>
      <c r="H11" s="629">
        <f t="shared" si="5"/>
        <v>1037638.3384954773</v>
      </c>
      <c r="I11" s="629">
        <f t="shared" si="6"/>
        <v>466300.59001627594</v>
      </c>
      <c r="J11" s="630">
        <f t="shared" si="7"/>
        <v>817976.47504482209</v>
      </c>
      <c r="K11" s="629">
        <f t="shared" si="8"/>
        <v>461109.78410421987</v>
      </c>
      <c r="L11" s="630">
        <f t="shared" si="9"/>
        <v>-201496.1050310602</v>
      </c>
      <c r="M11" s="629">
        <f t="shared" si="10"/>
        <v>569586.45890965743</v>
      </c>
      <c r="N11" s="629">
        <f t="shared" si="11"/>
        <v>453817.47628805006</v>
      </c>
      <c r="O11" s="632">
        <f t="shared" si="12"/>
        <v>8254206.6527851177</v>
      </c>
    </row>
    <row r="12" spans="1:15" x14ac:dyDescent="0.2">
      <c r="A12" s="602" t="s">
        <v>284</v>
      </c>
      <c r="B12" s="603">
        <f>(FFM!G13+FFM!J13)/2</f>
        <v>1.9351210940822299</v>
      </c>
      <c r="C12" s="629">
        <f t="shared" si="0"/>
        <v>188929.77904252819</v>
      </c>
      <c r="D12" s="630">
        <f t="shared" si="1"/>
        <v>393582.3127830103</v>
      </c>
      <c r="E12" s="629">
        <f t="shared" si="2"/>
        <v>122514.64167314915</v>
      </c>
      <c r="F12" s="630">
        <f t="shared" si="3"/>
        <v>240295.53422320835</v>
      </c>
      <c r="G12" s="629">
        <f t="shared" si="4"/>
        <v>368494.60988328175</v>
      </c>
      <c r="H12" s="629">
        <f t="shared" si="5"/>
        <v>293221.45113490673</v>
      </c>
      <c r="I12" s="629">
        <f t="shared" si="6"/>
        <v>131769.74153430588</v>
      </c>
      <c r="J12" s="630">
        <f t="shared" si="7"/>
        <v>231148.21427533828</v>
      </c>
      <c r="K12" s="629">
        <f t="shared" si="8"/>
        <v>130302.89553833043</v>
      </c>
      <c r="L12" s="630">
        <f t="shared" si="9"/>
        <v>-56939.858641794563</v>
      </c>
      <c r="M12" s="629">
        <f t="shared" si="10"/>
        <v>160956.82072661837</v>
      </c>
      <c r="N12" s="629">
        <f t="shared" si="11"/>
        <v>128242.19577363195</v>
      </c>
      <c r="O12" s="632">
        <f t="shared" si="12"/>
        <v>2332518.3379465146</v>
      </c>
    </row>
    <row r="13" spans="1:15" x14ac:dyDescent="0.2">
      <c r="A13" s="602" t="s">
        <v>152</v>
      </c>
      <c r="B13" s="603">
        <f>(FFM!G14+FFM!J14)/2</f>
        <v>0.50421296253906278</v>
      </c>
      <c r="C13" s="629">
        <f t="shared" si="0"/>
        <v>49227.329439072164</v>
      </c>
      <c r="D13" s="630">
        <f t="shared" si="1"/>
        <v>102551.36205076419</v>
      </c>
      <c r="E13" s="629">
        <f t="shared" si="2"/>
        <v>31922.276399827864</v>
      </c>
      <c r="F13" s="630">
        <f t="shared" si="3"/>
        <v>62611.132484736445</v>
      </c>
      <c r="G13" s="629">
        <f t="shared" si="4"/>
        <v>96014.538571832876</v>
      </c>
      <c r="H13" s="629">
        <f t="shared" si="5"/>
        <v>76401.449505594544</v>
      </c>
      <c r="I13" s="629">
        <f t="shared" si="6"/>
        <v>34333.774746809562</v>
      </c>
      <c r="J13" s="630">
        <f t="shared" si="7"/>
        <v>60227.717149999655</v>
      </c>
      <c r="K13" s="629">
        <f t="shared" si="8"/>
        <v>33951.575013944726</v>
      </c>
      <c r="L13" s="630">
        <f t="shared" si="9"/>
        <v>-14836.185135975122</v>
      </c>
      <c r="M13" s="629">
        <f t="shared" si="10"/>
        <v>41938.727073784074</v>
      </c>
      <c r="N13" s="629">
        <f t="shared" si="11"/>
        <v>33414.641415091595</v>
      </c>
      <c r="O13" s="632">
        <f t="shared" si="12"/>
        <v>607758.33871548262</v>
      </c>
    </row>
    <row r="14" spans="1:15" x14ac:dyDescent="0.2">
      <c r="A14" s="602" t="s">
        <v>153</v>
      </c>
      <c r="B14" s="603">
        <f>(FFM!G15+FFM!J15)/2</f>
        <v>2.0114845776528272</v>
      </c>
      <c r="C14" s="629">
        <f t="shared" si="0"/>
        <v>196385.30010631628</v>
      </c>
      <c r="D14" s="630">
        <f t="shared" si="1"/>
        <v>409113.80410300824</v>
      </c>
      <c r="E14" s="629">
        <f t="shared" si="2"/>
        <v>127349.29768262345</v>
      </c>
      <c r="F14" s="630">
        <f t="shared" si="3"/>
        <v>249778.04368262007</v>
      </c>
      <c r="G14" s="629">
        <f t="shared" si="4"/>
        <v>383036.0937075906</v>
      </c>
      <c r="H14" s="629">
        <f t="shared" si="5"/>
        <v>304792.51587848383</v>
      </c>
      <c r="I14" s="629">
        <f t="shared" si="6"/>
        <v>136969.62102687536</v>
      </c>
      <c r="J14" s="630">
        <f t="shared" si="7"/>
        <v>240269.75344783082</v>
      </c>
      <c r="K14" s="629">
        <f t="shared" si="8"/>
        <v>135444.89055511347</v>
      </c>
      <c r="L14" s="630">
        <f t="shared" si="9"/>
        <v>-59186.811544743003</v>
      </c>
      <c r="M14" s="629">
        <f t="shared" si="10"/>
        <v>167308.47674066338</v>
      </c>
      <c r="N14" s="629">
        <f t="shared" si="11"/>
        <v>133302.8717385444</v>
      </c>
      <c r="O14" s="632">
        <f t="shared" si="12"/>
        <v>2424563.857124927</v>
      </c>
    </row>
    <row r="15" spans="1:15" x14ac:dyDescent="0.2">
      <c r="A15" s="602" t="s">
        <v>154</v>
      </c>
      <c r="B15" s="603">
        <f>(FFM!G16+FFM!J16)/2</f>
        <v>1.0996539254494344</v>
      </c>
      <c r="C15" s="629">
        <f t="shared" si="0"/>
        <v>107361.43272570935</v>
      </c>
      <c r="D15" s="630">
        <f t="shared" si="1"/>
        <v>223657.49438774557</v>
      </c>
      <c r="E15" s="629">
        <f t="shared" si="2"/>
        <v>69620.297692431879</v>
      </c>
      <c r="F15" s="630">
        <f t="shared" si="3"/>
        <v>136550.59018507678</v>
      </c>
      <c r="G15" s="629">
        <f t="shared" si="4"/>
        <v>209401.13024673052</v>
      </c>
      <c r="H15" s="629">
        <f t="shared" si="5"/>
        <v>166626.32677228109</v>
      </c>
      <c r="I15" s="629">
        <f t="shared" si="6"/>
        <v>74879.610364838227</v>
      </c>
      <c r="J15" s="630">
        <f t="shared" si="7"/>
        <v>131352.52463828583</v>
      </c>
      <c r="K15" s="629">
        <f t="shared" si="8"/>
        <v>74046.058933645138</v>
      </c>
      <c r="L15" s="630">
        <f t="shared" si="9"/>
        <v>-32356.703289248835</v>
      </c>
      <c r="M15" s="629">
        <f t="shared" si="10"/>
        <v>91465.490341229044</v>
      </c>
      <c r="N15" s="629">
        <f t="shared" si="11"/>
        <v>72875.043542229469</v>
      </c>
      <c r="O15" s="632">
        <f t="shared" si="12"/>
        <v>1325479.2965409542</v>
      </c>
    </row>
    <row r="16" spans="1:15" x14ac:dyDescent="0.2">
      <c r="A16" s="602" t="s">
        <v>155</v>
      </c>
      <c r="B16" s="603">
        <f>(FFM!G17+FFM!J17)/2</f>
        <v>0.60758289331290416</v>
      </c>
      <c r="C16" s="629">
        <f t="shared" si="0"/>
        <v>59319.544463995771</v>
      </c>
      <c r="D16" s="630">
        <f t="shared" si="1"/>
        <v>123575.66722246903</v>
      </c>
      <c r="E16" s="629">
        <f t="shared" si="2"/>
        <v>38466.740241012812</v>
      </c>
      <c r="F16" s="630">
        <f t="shared" si="3"/>
        <v>75447.193656245116</v>
      </c>
      <c r="G16" s="629">
        <f t="shared" si="4"/>
        <v>115698.71359873684</v>
      </c>
      <c r="H16" s="629">
        <f t="shared" si="5"/>
        <v>92064.697246478623</v>
      </c>
      <c r="I16" s="629">
        <f t="shared" si="6"/>
        <v>41372.625753158711</v>
      </c>
      <c r="J16" s="630">
        <f t="shared" si="7"/>
        <v>72575.148523265147</v>
      </c>
      <c r="K16" s="629">
        <f t="shared" si="8"/>
        <v>40912.070319700477</v>
      </c>
      <c r="L16" s="630">
        <f t="shared" si="9"/>
        <v>-17877.78768171457</v>
      </c>
      <c r="M16" s="629">
        <f t="shared" si="10"/>
        <v>50536.687928517611</v>
      </c>
      <c r="N16" s="629">
        <f t="shared" si="11"/>
        <v>40265.058652516658</v>
      </c>
      <c r="O16" s="632">
        <f t="shared" si="12"/>
        <v>732356.35992438241</v>
      </c>
    </row>
    <row r="17" spans="1:16" x14ac:dyDescent="0.2">
      <c r="A17" s="602" t="s">
        <v>156</v>
      </c>
      <c r="B17" s="603">
        <f>(FFM!G18+FFM!J18)/2</f>
        <v>1.535304136439126</v>
      </c>
      <c r="C17" s="629">
        <f t="shared" si="0"/>
        <v>149894.84231636298</v>
      </c>
      <c r="D17" s="630">
        <f t="shared" si="1"/>
        <v>312263.94807691354</v>
      </c>
      <c r="E17" s="629">
        <f t="shared" si="2"/>
        <v>97201.790994042211</v>
      </c>
      <c r="F17" s="630">
        <f t="shared" si="3"/>
        <v>190647.87665689329</v>
      </c>
      <c r="G17" s="629">
        <f t="shared" si="4"/>
        <v>292359.6360658987</v>
      </c>
      <c r="H17" s="629">
        <f t="shared" si="5"/>
        <v>232638.72643257721</v>
      </c>
      <c r="I17" s="629">
        <f t="shared" si="6"/>
        <v>104544.68707607279</v>
      </c>
      <c r="J17" s="630">
        <f t="shared" si="7"/>
        <v>183390.49199179682</v>
      </c>
      <c r="K17" s="629">
        <f t="shared" si="8"/>
        <v>103380.90733534894</v>
      </c>
      <c r="L17" s="630">
        <f t="shared" si="9"/>
        <v>-45175.467710183279</v>
      </c>
      <c r="M17" s="629">
        <f t="shared" si="10"/>
        <v>127701.39987899236</v>
      </c>
      <c r="N17" s="629">
        <f t="shared" si="11"/>
        <v>101745.97044050762</v>
      </c>
      <c r="O17" s="632">
        <f t="shared" si="12"/>
        <v>1850594.8095552232</v>
      </c>
    </row>
    <row r="18" spans="1:16" x14ac:dyDescent="0.2">
      <c r="A18" s="602" t="s">
        <v>157</v>
      </c>
      <c r="B18" s="603">
        <f>(FFM!G19+FFM!J19)/2</f>
        <v>1.1717070524785129</v>
      </c>
      <c r="C18" s="629">
        <f t="shared" si="0"/>
        <v>114396.12497859044</v>
      </c>
      <c r="D18" s="630">
        <f t="shared" si="1"/>
        <v>238312.3066711094</v>
      </c>
      <c r="E18" s="629">
        <f t="shared" si="2"/>
        <v>74182.06029550251</v>
      </c>
      <c r="F18" s="630">
        <f t="shared" si="3"/>
        <v>145497.85695037275</v>
      </c>
      <c r="G18" s="629">
        <f t="shared" si="4"/>
        <v>223121.81626304582</v>
      </c>
      <c r="H18" s="629">
        <f t="shared" si="5"/>
        <v>177544.25977961795</v>
      </c>
      <c r="I18" s="629">
        <f t="shared" si="6"/>
        <v>79785.981317227197</v>
      </c>
      <c r="J18" s="630">
        <f t="shared" si="7"/>
        <v>139959.19617768351</v>
      </c>
      <c r="K18" s="629">
        <f t="shared" si="8"/>
        <v>78897.812714424872</v>
      </c>
      <c r="L18" s="630">
        <f t="shared" si="9"/>
        <v>-34476.826355594087</v>
      </c>
      <c r="M18" s="629">
        <f t="shared" si="10"/>
        <v>97458.625492035702</v>
      </c>
      <c r="N18" s="629">
        <f t="shared" si="11"/>
        <v>77650.068346012005</v>
      </c>
      <c r="O18" s="632">
        <f t="shared" si="12"/>
        <v>1412329.2826300282</v>
      </c>
    </row>
    <row r="19" spans="1:16" x14ac:dyDescent="0.2">
      <c r="A19" s="602" t="s">
        <v>158</v>
      </c>
      <c r="B19" s="603">
        <f>(FFM!G20+FFM!J20)/2</f>
        <v>2.0888004021541393</v>
      </c>
      <c r="C19" s="629">
        <f t="shared" si="0"/>
        <v>203933.80013775828</v>
      </c>
      <c r="D19" s="630">
        <f t="shared" si="1"/>
        <v>424838.99107709981</v>
      </c>
      <c r="E19" s="629">
        <f t="shared" si="2"/>
        <v>132244.24744231009</v>
      </c>
      <c r="F19" s="630">
        <f t="shared" si="3"/>
        <v>259378.81099856002</v>
      </c>
      <c r="G19" s="629">
        <f t="shared" si="4"/>
        <v>397758.92664788646</v>
      </c>
      <c r="H19" s="629">
        <f t="shared" si="5"/>
        <v>316507.88517774647</v>
      </c>
      <c r="I19" s="629">
        <f t="shared" si="6"/>
        <v>142234.34902875862</v>
      </c>
      <c r="J19" s="630">
        <f t="shared" si="7"/>
        <v>249505.04876002402</v>
      </c>
      <c r="K19" s="629">
        <f t="shared" si="8"/>
        <v>140651.01219487182</v>
      </c>
      <c r="L19" s="630">
        <f t="shared" si="9"/>
        <v>-61461.786548292541</v>
      </c>
      <c r="M19" s="629">
        <f t="shared" si="10"/>
        <v>173739.34524891578</v>
      </c>
      <c r="N19" s="629">
        <f t="shared" si="11"/>
        <v>138426.66018383522</v>
      </c>
      <c r="O19" s="632">
        <f t="shared" si="12"/>
        <v>2517757.2903494742</v>
      </c>
    </row>
    <row r="20" spans="1:16" x14ac:dyDescent="0.2">
      <c r="A20" s="602" t="s">
        <v>285</v>
      </c>
      <c r="B20" s="603">
        <f>(FFM!G21+FFM!J21)/2</f>
        <v>0.4564564853255686</v>
      </c>
      <c r="C20" s="629">
        <f t="shared" si="0"/>
        <v>44564.768157823688</v>
      </c>
      <c r="D20" s="630">
        <f t="shared" si="1"/>
        <v>92838.220682228493</v>
      </c>
      <c r="E20" s="629">
        <f t="shared" si="2"/>
        <v>28898.761379876079</v>
      </c>
      <c r="F20" s="630">
        <f t="shared" si="3"/>
        <v>56680.925719005521</v>
      </c>
      <c r="G20" s="629">
        <f t="shared" si="4"/>
        <v>86920.531745075306</v>
      </c>
      <c r="H20" s="629">
        <f t="shared" si="5"/>
        <v>69165.094327381172</v>
      </c>
      <c r="I20" s="629">
        <f t="shared" si="6"/>
        <v>31081.854916957462</v>
      </c>
      <c r="J20" s="630">
        <f t="shared" si="7"/>
        <v>54523.25531464591</v>
      </c>
      <c r="K20" s="629">
        <f t="shared" si="8"/>
        <v>30735.855191211933</v>
      </c>
      <c r="L20" s="630">
        <f t="shared" si="9"/>
        <v>-13430.977436011466</v>
      </c>
      <c r="M20" s="629">
        <f t="shared" si="10"/>
        <v>37966.504991717011</v>
      </c>
      <c r="N20" s="629">
        <f t="shared" si="11"/>
        <v>30249.777201166762</v>
      </c>
      <c r="O20" s="632">
        <f t="shared" si="12"/>
        <v>550194.57219107775</v>
      </c>
    </row>
    <row r="21" spans="1:16" x14ac:dyDescent="0.2">
      <c r="A21" s="602" t="s">
        <v>286</v>
      </c>
      <c r="B21" s="603">
        <f>(FFM!G22+FFM!J22)/2</f>
        <v>1.2761806287158</v>
      </c>
      <c r="C21" s="629">
        <f t="shared" si="0"/>
        <v>124596.09113815246</v>
      </c>
      <c r="D21" s="630">
        <f t="shared" si="1"/>
        <v>259561.08117205871</v>
      </c>
      <c r="E21" s="629">
        <f t="shared" si="2"/>
        <v>80796.397143034061</v>
      </c>
      <c r="F21" s="630">
        <f t="shared" si="3"/>
        <v>158470.96436515928</v>
      </c>
      <c r="G21" s="629">
        <f t="shared" si="4"/>
        <v>243016.15250711888</v>
      </c>
      <c r="H21" s="629">
        <f t="shared" si="5"/>
        <v>193374.73866966352</v>
      </c>
      <c r="I21" s="629">
        <f t="shared" si="6"/>
        <v>86899.983732916284</v>
      </c>
      <c r="J21" s="630">
        <f t="shared" si="7"/>
        <v>152438.45686067472</v>
      </c>
      <c r="K21" s="629">
        <f t="shared" si="8"/>
        <v>85932.622852453642</v>
      </c>
      <c r="L21" s="630">
        <f t="shared" si="9"/>
        <v>-37550.903053401562</v>
      </c>
      <c r="M21" s="629">
        <f t="shared" si="10"/>
        <v>106148.38383972656</v>
      </c>
      <c r="N21" s="629">
        <f t="shared" si="11"/>
        <v>84573.625149751926</v>
      </c>
      <c r="O21" s="632">
        <f t="shared" si="12"/>
        <v>1538257.5943773086</v>
      </c>
    </row>
    <row r="22" spans="1:16" x14ac:dyDescent="0.2">
      <c r="A22" s="602" t="s">
        <v>287</v>
      </c>
      <c r="B22" s="603">
        <f>(FFM!G23+FFM!J23)/2</f>
        <v>5.0677445890145982</v>
      </c>
      <c r="C22" s="629">
        <f t="shared" si="0"/>
        <v>494774.13500088215</v>
      </c>
      <c r="D22" s="630">
        <f t="shared" si="1"/>
        <v>1030723.4219282378</v>
      </c>
      <c r="E22" s="629">
        <f t="shared" si="2"/>
        <v>320844.4754764174</v>
      </c>
      <c r="F22" s="630">
        <f t="shared" si="3"/>
        <v>629292.08773964702</v>
      </c>
      <c r="G22" s="629">
        <f t="shared" si="4"/>
        <v>965023.10425318137</v>
      </c>
      <c r="H22" s="629">
        <f t="shared" si="5"/>
        <v>767895.83190228418</v>
      </c>
      <c r="I22" s="629">
        <f t="shared" si="6"/>
        <v>345081.967582518</v>
      </c>
      <c r="J22" s="630">
        <f t="shared" si="7"/>
        <v>605336.85242565791</v>
      </c>
      <c r="K22" s="629">
        <f t="shared" si="8"/>
        <v>341240.55379102199</v>
      </c>
      <c r="L22" s="630">
        <f t="shared" si="9"/>
        <v>-149115.55737449307</v>
      </c>
      <c r="M22" s="629">
        <f t="shared" si="10"/>
        <v>421517.83668565168</v>
      </c>
      <c r="N22" s="629">
        <f t="shared" si="11"/>
        <v>335843.94056920841</v>
      </c>
      <c r="O22" s="632">
        <f t="shared" si="12"/>
        <v>6108458.6499802144</v>
      </c>
    </row>
    <row r="23" spans="1:16" x14ac:dyDescent="0.2">
      <c r="A23" s="602" t="s">
        <v>162</v>
      </c>
      <c r="B23" s="603">
        <f>(FFM!G24+FFM!J24)/2</f>
        <v>1.8993898706090129</v>
      </c>
      <c r="C23" s="629">
        <f t="shared" si="0"/>
        <v>185441.26756055519</v>
      </c>
      <c r="D23" s="630">
        <f t="shared" si="1"/>
        <v>386314.97555219731</v>
      </c>
      <c r="E23" s="629">
        <f t="shared" si="2"/>
        <v>120252.45867398103</v>
      </c>
      <c r="F23" s="630">
        <f t="shared" si="3"/>
        <v>235858.57497595382</v>
      </c>
      <c r="G23" s="629">
        <f t="shared" si="4"/>
        <v>361690.50687666336</v>
      </c>
      <c r="H23" s="629">
        <f t="shared" si="5"/>
        <v>287807.23637094063</v>
      </c>
      <c r="I23" s="629">
        <f t="shared" si="6"/>
        <v>129336.66688271498</v>
      </c>
      <c r="J23" s="630">
        <f t="shared" si="7"/>
        <v>226880.15656827047</v>
      </c>
      <c r="K23" s="629">
        <f t="shared" si="8"/>
        <v>127896.90560109838</v>
      </c>
      <c r="L23" s="630">
        <f t="shared" si="9"/>
        <v>-55888.487324575653</v>
      </c>
      <c r="M23" s="629">
        <f t="shared" si="10"/>
        <v>157984.81853589814</v>
      </c>
      <c r="N23" s="629">
        <f t="shared" si="11"/>
        <v>125874.25581891974</v>
      </c>
      <c r="O23" s="632">
        <f t="shared" si="12"/>
        <v>2289449.3360926174</v>
      </c>
    </row>
    <row r="24" spans="1:16" x14ac:dyDescent="0.2">
      <c r="A24" s="602" t="s">
        <v>163</v>
      </c>
      <c r="B24" s="603">
        <f>(FFM!G25+FFM!J25)/2</f>
        <v>34.181424852456686</v>
      </c>
      <c r="C24" s="629">
        <f t="shared" si="0"/>
        <v>3337201.513890896</v>
      </c>
      <c r="D24" s="630">
        <f t="shared" si="1"/>
        <v>6952125.2642998146</v>
      </c>
      <c r="E24" s="629">
        <f t="shared" si="2"/>
        <v>2164063.5464534163</v>
      </c>
      <c r="F24" s="630">
        <f t="shared" si="3"/>
        <v>4244511.5039826576</v>
      </c>
      <c r="G24" s="629">
        <f t="shared" si="4"/>
        <v>6508983.2645509383</v>
      </c>
      <c r="H24" s="629">
        <f t="shared" si="5"/>
        <v>5179379.7441134276</v>
      </c>
      <c r="I24" s="629">
        <f t="shared" si="6"/>
        <v>2327542.9800524535</v>
      </c>
      <c r="J24" s="630">
        <f t="shared" si="7"/>
        <v>4082935.8639073842</v>
      </c>
      <c r="K24" s="629">
        <f t="shared" si="8"/>
        <v>2301633.0324347611</v>
      </c>
      <c r="L24" s="630">
        <f t="shared" si="9"/>
        <v>-1005769.3573936635</v>
      </c>
      <c r="M24" s="629">
        <f t="shared" si="10"/>
        <v>2843095.1887104292</v>
      </c>
      <c r="N24" s="629">
        <f t="shared" si="11"/>
        <v>2265233.4219060345</v>
      </c>
      <c r="O24" s="632">
        <f t="shared" si="12"/>
        <v>41200935.966908537</v>
      </c>
    </row>
    <row r="25" spans="1:16" x14ac:dyDescent="0.2">
      <c r="A25" s="602" t="s">
        <v>164</v>
      </c>
      <c r="B25" s="603">
        <f>(FFM!G26+FFM!J26)/2</f>
        <v>1.3776489282856625</v>
      </c>
      <c r="C25" s="629">
        <f t="shared" si="0"/>
        <v>134502.64606961381</v>
      </c>
      <c r="D25" s="630">
        <f t="shared" si="1"/>
        <v>280198.61550569499</v>
      </c>
      <c r="E25" s="629">
        <f t="shared" si="2"/>
        <v>87220.46662426788</v>
      </c>
      <c r="F25" s="630">
        <f t="shared" si="3"/>
        <v>171070.88864195213</v>
      </c>
      <c r="G25" s="629">
        <f t="shared" si="4"/>
        <v>262338.21022219415</v>
      </c>
      <c r="H25" s="629">
        <f t="shared" si="5"/>
        <v>208749.83955355798</v>
      </c>
      <c r="I25" s="629">
        <f t="shared" si="6"/>
        <v>93809.345451484856</v>
      </c>
      <c r="J25" s="630">
        <f t="shared" si="7"/>
        <v>164558.7403524179</v>
      </c>
      <c r="K25" s="629">
        <f t="shared" si="8"/>
        <v>92765.070330669187</v>
      </c>
      <c r="L25" s="630">
        <f t="shared" si="9"/>
        <v>-40536.551161832402</v>
      </c>
      <c r="M25" s="629">
        <f t="shared" si="10"/>
        <v>114588.17344940314</v>
      </c>
      <c r="N25" s="629">
        <f t="shared" si="11"/>
        <v>91298.019596202474</v>
      </c>
      <c r="O25" s="632">
        <f t="shared" si="12"/>
        <v>1660563.4646356262</v>
      </c>
    </row>
    <row r="26" spans="1:16" ht="13.5" thickBot="1" x14ac:dyDescent="0.25">
      <c r="A26" s="602" t="s">
        <v>165</v>
      </c>
      <c r="B26" s="603">
        <f>(FFM!G27+FFM!J27)/2</f>
        <v>5.3441744416599857</v>
      </c>
      <c r="C26" s="629">
        <f t="shared" si="0"/>
        <v>521762.53957192571</v>
      </c>
      <c r="D26" s="630">
        <f t="shared" si="1"/>
        <v>1086946.2087394362</v>
      </c>
      <c r="E26" s="629">
        <f t="shared" si="2"/>
        <v>338345.55303077737</v>
      </c>
      <c r="F26" s="630">
        <f t="shared" si="3"/>
        <v>663618.03215718199</v>
      </c>
      <c r="G26" s="629">
        <f t="shared" si="4"/>
        <v>1017662.1411703856</v>
      </c>
      <c r="H26" s="629">
        <f t="shared" si="5"/>
        <v>809782.18349938199</v>
      </c>
      <c r="I26" s="635">
        <f t="shared" si="6"/>
        <v>363905.12565094075</v>
      </c>
      <c r="J26" s="630">
        <f t="shared" si="7"/>
        <v>638356.11256745306</v>
      </c>
      <c r="K26" s="629">
        <f t="shared" si="8"/>
        <v>359854.1745732454</v>
      </c>
      <c r="L26" s="630">
        <f t="shared" si="9"/>
        <v>-157249.35157586599</v>
      </c>
      <c r="M26" s="629">
        <f t="shared" si="10"/>
        <v>444510.3359001936</v>
      </c>
      <c r="N26" s="629">
        <f t="shared" si="11"/>
        <v>354163.19272817415</v>
      </c>
      <c r="O26" s="632">
        <f t="shared" si="12"/>
        <v>6441656.24801323</v>
      </c>
    </row>
    <row r="27" spans="1:16" ht="13.5" thickBot="1" x14ac:dyDescent="0.25">
      <c r="A27" s="607" t="s">
        <v>288</v>
      </c>
      <c r="B27" s="623">
        <f t="shared" ref="B27:N27" si="13">SUM(B7:B26)</f>
        <v>100</v>
      </c>
      <c r="C27" s="637">
        <f t="shared" si="13"/>
        <v>9763201.8802488428</v>
      </c>
      <c r="D27" s="637">
        <f t="shared" si="13"/>
        <v>20338898.376262836</v>
      </c>
      <c r="E27" s="637">
        <f t="shared" si="13"/>
        <v>6331109.8229361307</v>
      </c>
      <c r="F27" s="637">
        <f t="shared" si="13"/>
        <v>12417596.757022249</v>
      </c>
      <c r="G27" s="637">
        <f t="shared" si="13"/>
        <v>19042457.395052467</v>
      </c>
      <c r="H27" s="637">
        <f t="shared" si="13"/>
        <v>15152615.101535695</v>
      </c>
      <c r="I27" s="637">
        <f t="shared" si="13"/>
        <v>6809379.6267979983</v>
      </c>
      <c r="J27" s="637">
        <f t="shared" si="13"/>
        <v>11944896.625963608</v>
      </c>
      <c r="K27" s="637">
        <f t="shared" si="13"/>
        <v>6733578.3758860435</v>
      </c>
      <c r="L27" s="637">
        <f t="shared" si="13"/>
        <v>-2942444.2127121468</v>
      </c>
      <c r="M27" s="637">
        <f t="shared" si="13"/>
        <v>8317661.4227832286</v>
      </c>
      <c r="N27" s="637">
        <f t="shared" si="13"/>
        <v>6627088.9282230353</v>
      </c>
      <c r="O27" s="637">
        <f t="shared" si="12"/>
        <v>120536040.09999998</v>
      </c>
    </row>
    <row r="28" spans="1:16" x14ac:dyDescent="0.2">
      <c r="A28" s="610"/>
      <c r="B28" s="610"/>
      <c r="C28" s="610"/>
      <c r="D28" s="610"/>
      <c r="E28" s="610"/>
      <c r="F28" s="610"/>
      <c r="G28" s="610"/>
      <c r="H28" s="610"/>
      <c r="I28" s="610"/>
      <c r="J28" s="610"/>
      <c r="K28" s="610"/>
      <c r="L28" s="610"/>
      <c r="M28" s="610"/>
      <c r="N28" s="610"/>
      <c r="O28" s="610"/>
      <c r="P28" s="606"/>
    </row>
    <row r="29" spans="1:16" x14ac:dyDescent="0.2">
      <c r="A29" s="611" t="s">
        <v>168</v>
      </c>
      <c r="C29" s="606">
        <f>'X22.55 POE'!B22</f>
        <v>49379080.257498354</v>
      </c>
      <c r="D29" s="606">
        <f>'X22.55 POE'!C22</f>
        <v>69989723.108946905</v>
      </c>
      <c r="E29" s="606">
        <f>'X22.55 POE'!D22</f>
        <v>43619514.60419447</v>
      </c>
      <c r="F29" s="606">
        <f>'X22.55 POE'!E22</f>
        <v>55895224.938603207</v>
      </c>
      <c r="G29" s="606">
        <f>'X22.55 POE'!F22</f>
        <v>59476037.564360663</v>
      </c>
      <c r="H29" s="606">
        <f>'X22.55 POE'!G22</f>
        <v>56212807.002193861</v>
      </c>
      <c r="I29" s="606">
        <f>'X22.55 POE'!H22</f>
        <v>48393808.181140006</v>
      </c>
      <c r="J29" s="606">
        <f>'X22.55 POE'!I22</f>
        <v>50316509.037090868</v>
      </c>
      <c r="K29" s="606">
        <f>'X22.55 POE'!J22</f>
        <v>46708001.679837205</v>
      </c>
      <c r="L29" s="606">
        <f>'X22.55 POE'!K22</f>
        <v>32798736.267554075</v>
      </c>
      <c r="M29" s="606">
        <f>'X22.55 POE'!L22</f>
        <v>45124076.461118899</v>
      </c>
      <c r="N29" s="606">
        <f>'X22.55 POE'!M22</f>
        <v>46754367.897461489</v>
      </c>
      <c r="O29" s="606">
        <f>SUM(C29:N29)</f>
        <v>604667887.00000012</v>
      </c>
    </row>
    <row r="30" spans="1:16" x14ac:dyDescent="0.2">
      <c r="A30" s="597" t="s">
        <v>356</v>
      </c>
      <c r="C30" s="606">
        <f>'F.F.M.ESTIIMACIONES 2014'!C27</f>
        <v>35431649.000000007</v>
      </c>
      <c r="D30" s="606">
        <f>'F.F.M.ESTIIMACIONES 2014'!D27</f>
        <v>40934153.999999993</v>
      </c>
      <c r="E30" s="606">
        <f>'F.F.M.ESTIIMACIONES 2014'!E27</f>
        <v>34575072</v>
      </c>
      <c r="F30" s="606">
        <f>'F.F.M.ESTIIMACIONES 2014'!F27</f>
        <v>38155801</v>
      </c>
      <c r="G30" s="606">
        <f>'F.F.M.ESTIIMACIONES 2014'!G27</f>
        <v>32272527</v>
      </c>
      <c r="H30" s="606">
        <f>'F.F.M.ESTIIMACIONES 2014'!H27</f>
        <v>34566214.000000007</v>
      </c>
      <c r="I30" s="606">
        <f>'F.F.M.ESTIIMACIONES 2014'!I27</f>
        <v>38666123.000000007</v>
      </c>
      <c r="J30" s="606">
        <f>'F.F.M.ESTIIMACIONES 2014'!J27</f>
        <v>33252371</v>
      </c>
      <c r="K30" s="606">
        <f>'F.F.M.ESTIIMACIONES 2014'!K27</f>
        <v>37088604</v>
      </c>
      <c r="L30" s="606">
        <f>'F.F.M.ESTIIMACIONES 2014'!L27</f>
        <v>37002228</v>
      </c>
      <c r="M30" s="606">
        <f>'F.F.M.ESTIIMACIONES 2014'!M27</f>
        <v>33241703</v>
      </c>
      <c r="N30" s="606">
        <f>'F.F.M.ESTIIMACIONES 2014'!N27</f>
        <v>37287098.000000007</v>
      </c>
      <c r="O30" s="606">
        <f>SUM(C30:N30)</f>
        <v>432473544</v>
      </c>
    </row>
    <row r="31" spans="1:16" x14ac:dyDescent="0.2">
      <c r="A31" s="597" t="s">
        <v>345</v>
      </c>
      <c r="C31" s="606">
        <f>C29-C30</f>
        <v>13947431.257498346</v>
      </c>
      <c r="D31" s="606">
        <f t="shared" ref="D31:N31" si="14">D29-D30</f>
        <v>29055569.108946912</v>
      </c>
      <c r="E31" s="606">
        <f t="shared" si="14"/>
        <v>9044442.6041944697</v>
      </c>
      <c r="F31" s="606">
        <f t="shared" si="14"/>
        <v>17739423.938603207</v>
      </c>
      <c r="G31" s="606">
        <f t="shared" si="14"/>
        <v>27203510.564360663</v>
      </c>
      <c r="H31" s="606">
        <f t="shared" si="14"/>
        <v>21646593.002193853</v>
      </c>
      <c r="I31" s="606">
        <f t="shared" si="14"/>
        <v>9727685.1811399981</v>
      </c>
      <c r="J31" s="606">
        <f t="shared" si="14"/>
        <v>17064138.037090868</v>
      </c>
      <c r="K31" s="606">
        <f t="shared" si="14"/>
        <v>9619397.6798372045</v>
      </c>
      <c r="L31" s="606">
        <f t="shared" si="14"/>
        <v>-4203491.7324459255</v>
      </c>
      <c r="M31" s="606">
        <f t="shared" si="14"/>
        <v>11882373.461118899</v>
      </c>
      <c r="N31" s="606">
        <f t="shared" si="14"/>
        <v>9467269.8974614814</v>
      </c>
      <c r="O31" s="606">
        <f t="shared" ref="O31" si="15">O29-O30</f>
        <v>172194343.00000012</v>
      </c>
    </row>
    <row r="32" spans="1:16" x14ac:dyDescent="0.2">
      <c r="A32" s="645">
        <v>0.7</v>
      </c>
      <c r="B32" s="645"/>
      <c r="C32" s="606">
        <f>C31*0.7</f>
        <v>9763201.8802488409</v>
      </c>
      <c r="D32" s="606">
        <f t="shared" ref="D32:N32" si="16">D31*0.7</f>
        <v>20338898.376262836</v>
      </c>
      <c r="E32" s="606">
        <f t="shared" si="16"/>
        <v>6331109.8229361288</v>
      </c>
      <c r="F32" s="606">
        <f t="shared" si="16"/>
        <v>12417596.757022245</v>
      </c>
      <c r="G32" s="606">
        <f t="shared" si="16"/>
        <v>19042457.395052463</v>
      </c>
      <c r="H32" s="606">
        <f t="shared" si="16"/>
        <v>15152615.101535697</v>
      </c>
      <c r="I32" s="606">
        <f t="shared" si="16"/>
        <v>6809379.6267979983</v>
      </c>
      <c r="J32" s="606">
        <f t="shared" si="16"/>
        <v>11944896.625963606</v>
      </c>
      <c r="K32" s="606">
        <f t="shared" si="16"/>
        <v>6733578.3758860426</v>
      </c>
      <c r="L32" s="606">
        <f t="shared" si="16"/>
        <v>-2942444.2127121477</v>
      </c>
      <c r="M32" s="606">
        <f t="shared" si="16"/>
        <v>8317661.4227832286</v>
      </c>
      <c r="N32" s="606">
        <f t="shared" si="16"/>
        <v>6627088.9282230362</v>
      </c>
      <c r="O32" s="606">
        <f t="shared" ref="O32" si="17">O31*0.7</f>
        <v>120536040.10000007</v>
      </c>
    </row>
    <row r="33" spans="1:15" x14ac:dyDescent="0.2">
      <c r="A33" s="645">
        <v>0.3</v>
      </c>
      <c r="B33" s="645"/>
      <c r="C33" s="606">
        <f>C31*0.3</f>
        <v>4184229.3772495035</v>
      </c>
      <c r="D33" s="606">
        <f t="shared" ref="D33:N33" si="18">D31*0.3</f>
        <v>8716670.732684074</v>
      </c>
      <c r="E33" s="606">
        <f t="shared" si="18"/>
        <v>2713332.7812583409</v>
      </c>
      <c r="F33" s="606">
        <f t="shared" si="18"/>
        <v>5321827.1815809617</v>
      </c>
      <c r="G33" s="606">
        <f t="shared" si="18"/>
        <v>8161053.1693081986</v>
      </c>
      <c r="H33" s="606">
        <f t="shared" si="18"/>
        <v>6493977.9006581558</v>
      </c>
      <c r="I33" s="606">
        <f t="shared" si="18"/>
        <v>2918305.5543419993</v>
      </c>
      <c r="J33" s="606">
        <f t="shared" si="18"/>
        <v>5119241.41112726</v>
      </c>
      <c r="K33" s="606">
        <f t="shared" si="18"/>
        <v>2885819.3039511614</v>
      </c>
      <c r="L33" s="606">
        <f t="shared" si="18"/>
        <v>-1261047.5197337775</v>
      </c>
      <c r="M33" s="606">
        <f t="shared" si="18"/>
        <v>3564712.0383356698</v>
      </c>
      <c r="N33" s="606">
        <f t="shared" si="18"/>
        <v>2840180.9692384442</v>
      </c>
      <c r="O33" s="606">
        <f t="shared" ref="O33" si="19">O31*0.3</f>
        <v>51658302.900000036</v>
      </c>
    </row>
    <row r="37" spans="1:15" x14ac:dyDescent="0.2">
      <c r="B37" s="597">
        <f>FFM!G8+FFM!J8</f>
        <v>4.5312753788281999</v>
      </c>
    </row>
    <row r="38" spans="1:15" x14ac:dyDescent="0.2">
      <c r="B38" s="597">
        <f>B37/2</f>
        <v>2.2656376894140999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activeCell="C32" sqref="C32"/>
    </sheetView>
  </sheetViews>
  <sheetFormatPr baseColWidth="10" defaultRowHeight="12.75" x14ac:dyDescent="0.2"/>
  <cols>
    <col min="1" max="1" width="16" style="597" customWidth="1"/>
    <col min="2" max="2" width="9.28515625" style="597" bestFit="1" customWidth="1"/>
    <col min="3" max="12" width="10.85546875" style="597" bestFit="1" customWidth="1"/>
    <col min="13" max="13" width="11.7109375" style="597" bestFit="1" customWidth="1"/>
    <col min="14" max="14" width="10.85546875" style="597" bestFit="1" customWidth="1"/>
    <col min="15" max="16" width="13.7109375" style="597" bestFit="1" customWidth="1"/>
    <col min="17"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355</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598" t="s">
        <v>341</v>
      </c>
      <c r="B6" s="599" t="s">
        <v>281</v>
      </c>
      <c r="C6" s="598" t="s">
        <v>1</v>
      </c>
      <c r="D6" s="600" t="s">
        <v>2</v>
      </c>
      <c r="E6" s="598" t="s">
        <v>3</v>
      </c>
      <c r="F6" s="600" t="s">
        <v>4</v>
      </c>
      <c r="G6" s="598" t="s">
        <v>5</v>
      </c>
      <c r="H6" s="598" t="s">
        <v>6</v>
      </c>
      <c r="I6" s="598" t="s">
        <v>7</v>
      </c>
      <c r="J6" s="600" t="s">
        <v>8</v>
      </c>
      <c r="K6" s="598" t="s">
        <v>9</v>
      </c>
      <c r="L6" s="600" t="s">
        <v>10</v>
      </c>
      <c r="M6" s="598" t="s">
        <v>11</v>
      </c>
      <c r="N6" s="598" t="s">
        <v>12</v>
      </c>
      <c r="O6" s="601" t="s">
        <v>168</v>
      </c>
    </row>
    <row r="7" spans="1:15" x14ac:dyDescent="0.2">
      <c r="A7" s="602" t="s">
        <v>282</v>
      </c>
      <c r="B7" s="622">
        <v>3.6200000000000003E-2</v>
      </c>
      <c r="C7" s="629">
        <v>1282625.6938</v>
      </c>
      <c r="D7" s="630">
        <v>1481816.3748000001</v>
      </c>
      <c r="E7" s="629">
        <v>1251617.6064000002</v>
      </c>
      <c r="F7" s="630">
        <v>1381239.9962000002</v>
      </c>
      <c r="G7" s="629">
        <v>1168265.4774000002</v>
      </c>
      <c r="H7" s="629">
        <v>1251296.9468</v>
      </c>
      <c r="I7" s="631">
        <v>1399713.6526000001</v>
      </c>
      <c r="J7" s="630">
        <v>1203735.8302000002</v>
      </c>
      <c r="K7" s="629">
        <v>1342607.4648000002</v>
      </c>
      <c r="L7" s="630">
        <v>1339480.6536000001</v>
      </c>
      <c r="M7" s="629">
        <v>1203349.6486000002</v>
      </c>
      <c r="N7" s="629">
        <v>1349792.9476000001</v>
      </c>
      <c r="O7" s="632">
        <f t="shared" ref="O7:O27" si="0">SUM(C7:N7)</f>
        <v>15655542.2928</v>
      </c>
    </row>
    <row r="8" spans="1:15" x14ac:dyDescent="0.2">
      <c r="A8" s="602" t="s">
        <v>147</v>
      </c>
      <c r="B8" s="622">
        <v>2.47E-2</v>
      </c>
      <c r="C8" s="629">
        <v>875161.73029999994</v>
      </c>
      <c r="D8" s="630">
        <v>1011073.6038</v>
      </c>
      <c r="E8" s="629">
        <v>854004.27839999995</v>
      </c>
      <c r="F8" s="630">
        <v>942448.28469999996</v>
      </c>
      <c r="G8" s="629">
        <v>797131.41689999995</v>
      </c>
      <c r="H8" s="629">
        <v>853785.48580000002</v>
      </c>
      <c r="I8" s="629">
        <v>955053.23809999996</v>
      </c>
      <c r="J8" s="630">
        <v>821333.56369999994</v>
      </c>
      <c r="K8" s="629">
        <v>916088.51879999996</v>
      </c>
      <c r="L8" s="630">
        <v>913955.03159999999</v>
      </c>
      <c r="M8" s="629">
        <v>821070.06409999996</v>
      </c>
      <c r="N8" s="629">
        <v>920991.32059999998</v>
      </c>
      <c r="O8" s="632">
        <f t="shared" si="0"/>
        <v>10682096.536799997</v>
      </c>
    </row>
    <row r="9" spans="1:15" x14ac:dyDescent="0.2">
      <c r="A9" s="602" t="s">
        <v>148</v>
      </c>
      <c r="B9" s="622">
        <v>2.3300000000000001E-2</v>
      </c>
      <c r="C9" s="629">
        <v>825557.42170000006</v>
      </c>
      <c r="D9" s="630">
        <v>953765.78820000007</v>
      </c>
      <c r="E9" s="629">
        <v>805599.17760000005</v>
      </c>
      <c r="F9" s="630">
        <v>889030.16330000001</v>
      </c>
      <c r="G9" s="629">
        <v>751949.87910000002</v>
      </c>
      <c r="H9" s="629">
        <v>805392.78620000009</v>
      </c>
      <c r="I9" s="629">
        <v>900920.66590000002</v>
      </c>
      <c r="J9" s="630">
        <v>774780.24430000002</v>
      </c>
      <c r="K9" s="629">
        <v>864164.47320000001</v>
      </c>
      <c r="L9" s="630">
        <v>862151.91240000003</v>
      </c>
      <c r="M9" s="629">
        <v>774531.67989999999</v>
      </c>
      <c r="N9" s="629">
        <v>868789.38340000005</v>
      </c>
      <c r="O9" s="632">
        <f t="shared" si="0"/>
        <v>10076633.575200001</v>
      </c>
    </row>
    <row r="10" spans="1:15" x14ac:dyDescent="0.2">
      <c r="A10" s="602" t="s">
        <v>283</v>
      </c>
      <c r="B10" s="622">
        <v>2.81E-2</v>
      </c>
      <c r="C10" s="629">
        <v>995629.33689999999</v>
      </c>
      <c r="D10" s="630">
        <v>1150249.7274</v>
      </c>
      <c r="E10" s="629">
        <v>971559.52320000005</v>
      </c>
      <c r="F10" s="630">
        <v>1072178.0081</v>
      </c>
      <c r="G10" s="629">
        <v>906858.00870000001</v>
      </c>
      <c r="H10" s="629">
        <v>971310.61340000003</v>
      </c>
      <c r="I10" s="629">
        <v>1086518.0563000001</v>
      </c>
      <c r="J10" s="630">
        <v>934391.62509999995</v>
      </c>
      <c r="K10" s="629">
        <v>1042189.7724</v>
      </c>
      <c r="L10" s="630">
        <v>1039762.6068</v>
      </c>
      <c r="M10" s="629">
        <v>934091.85430000001</v>
      </c>
      <c r="N10" s="629">
        <v>1047767.4538</v>
      </c>
      <c r="O10" s="632">
        <f t="shared" si="0"/>
        <v>12152506.586399999</v>
      </c>
    </row>
    <row r="11" spans="1:15" x14ac:dyDescent="0.2">
      <c r="A11" s="602" t="s">
        <v>150</v>
      </c>
      <c r="B11" s="622">
        <v>4.6399999999999997E-2</v>
      </c>
      <c r="C11" s="629">
        <v>1644028.5135999999</v>
      </c>
      <c r="D11" s="630">
        <v>1899344.7455999998</v>
      </c>
      <c r="E11" s="629">
        <v>1604283.3407999999</v>
      </c>
      <c r="F11" s="630">
        <v>1770429.1664</v>
      </c>
      <c r="G11" s="629">
        <v>1497445.2527999999</v>
      </c>
      <c r="H11" s="629">
        <v>1603872.3295999998</v>
      </c>
      <c r="I11" s="629">
        <v>1794108.1072</v>
      </c>
      <c r="J11" s="630">
        <v>1542910.0144</v>
      </c>
      <c r="K11" s="629">
        <v>1720911.2255999998</v>
      </c>
      <c r="L11" s="630">
        <v>1716903.3791999999</v>
      </c>
      <c r="M11" s="629">
        <v>1542415.0192</v>
      </c>
      <c r="N11" s="629">
        <v>1730121.3472</v>
      </c>
      <c r="O11" s="632">
        <f t="shared" si="0"/>
        <v>20066772.441599999</v>
      </c>
    </row>
    <row r="12" spans="1:15" x14ac:dyDescent="0.2">
      <c r="A12" s="602" t="s">
        <v>284</v>
      </c>
      <c r="B12" s="622">
        <v>1.4999999999999999E-2</v>
      </c>
      <c r="C12" s="629">
        <v>531474.73499999999</v>
      </c>
      <c r="D12" s="630">
        <v>614012.30999999994</v>
      </c>
      <c r="E12" s="629">
        <v>518626.07999999996</v>
      </c>
      <c r="F12" s="630">
        <v>572337.01500000001</v>
      </c>
      <c r="G12" s="629">
        <v>484087.90499999997</v>
      </c>
      <c r="H12" s="629">
        <v>518493.20999999996</v>
      </c>
      <c r="I12" s="629">
        <v>579991.84499999997</v>
      </c>
      <c r="J12" s="630">
        <v>498785.565</v>
      </c>
      <c r="K12" s="629">
        <v>556329.05999999994</v>
      </c>
      <c r="L12" s="630">
        <v>555033.41999999993</v>
      </c>
      <c r="M12" s="629">
        <v>498625.54499999998</v>
      </c>
      <c r="N12" s="629">
        <v>559306.47</v>
      </c>
      <c r="O12" s="632">
        <f t="shared" si="0"/>
        <v>6487103.1599999992</v>
      </c>
    </row>
    <row r="13" spans="1:15" x14ac:dyDescent="0.2">
      <c r="A13" s="602" t="s">
        <v>152</v>
      </c>
      <c r="B13" s="622">
        <v>1.5299999999999999E-2</v>
      </c>
      <c r="C13" s="629">
        <v>542104.22970000003</v>
      </c>
      <c r="D13" s="630">
        <v>626292.55619999999</v>
      </c>
      <c r="E13" s="629">
        <v>528998.60159999994</v>
      </c>
      <c r="F13" s="630">
        <v>583783.75529999996</v>
      </c>
      <c r="G13" s="629">
        <v>493769.66310000001</v>
      </c>
      <c r="H13" s="629">
        <v>528863.07420000003</v>
      </c>
      <c r="I13" s="629">
        <v>591591.68189999997</v>
      </c>
      <c r="J13" s="630">
        <v>508761.27629999997</v>
      </c>
      <c r="K13" s="629">
        <v>567455.64119999995</v>
      </c>
      <c r="L13" s="630">
        <v>566134.08840000001</v>
      </c>
      <c r="M13" s="629">
        <v>508598.05589999998</v>
      </c>
      <c r="N13" s="629">
        <v>570492.59939999995</v>
      </c>
      <c r="O13" s="632">
        <f t="shared" si="0"/>
        <v>6616845.223199999</v>
      </c>
    </row>
    <row r="14" spans="1:15" x14ac:dyDescent="0.2">
      <c r="A14" s="602" t="s">
        <v>153</v>
      </c>
      <c r="B14" s="622">
        <v>3.1600000000000003E-2</v>
      </c>
      <c r="C14" s="629">
        <v>1119640.1084</v>
      </c>
      <c r="D14" s="630">
        <v>1293519.2664000001</v>
      </c>
      <c r="E14" s="629">
        <v>1092572.2752</v>
      </c>
      <c r="F14" s="630">
        <v>1205723.3116000001</v>
      </c>
      <c r="G14" s="629">
        <v>1019811.8532000001</v>
      </c>
      <c r="H14" s="629">
        <v>1092292.3624000002</v>
      </c>
      <c r="I14" s="629">
        <v>1221849.4868000001</v>
      </c>
      <c r="J14" s="630">
        <v>1050774.9236000001</v>
      </c>
      <c r="K14" s="629">
        <v>1171999.8864000002</v>
      </c>
      <c r="L14" s="630">
        <v>1169270.4048000001</v>
      </c>
      <c r="M14" s="629">
        <v>1050437.8148000001</v>
      </c>
      <c r="N14" s="629">
        <v>1178272.2968000001</v>
      </c>
      <c r="O14" s="632">
        <f t="shared" si="0"/>
        <v>13666163.9904</v>
      </c>
    </row>
    <row r="15" spans="1:15" x14ac:dyDescent="0.2">
      <c r="A15" s="602" t="s">
        <v>154</v>
      </c>
      <c r="B15" s="622">
        <v>2.81E-2</v>
      </c>
      <c r="C15" s="629">
        <v>995629.33689999999</v>
      </c>
      <c r="D15" s="630">
        <v>1150249.7274</v>
      </c>
      <c r="E15" s="629">
        <v>971559.52320000005</v>
      </c>
      <c r="F15" s="630">
        <v>1072178.0081</v>
      </c>
      <c r="G15" s="629">
        <v>906858.00870000001</v>
      </c>
      <c r="H15" s="629">
        <v>971310.61340000003</v>
      </c>
      <c r="I15" s="629">
        <v>1086518.0563000001</v>
      </c>
      <c r="J15" s="630">
        <v>934391.62509999995</v>
      </c>
      <c r="K15" s="629">
        <v>1042189.7724</v>
      </c>
      <c r="L15" s="630">
        <v>1039762.6068</v>
      </c>
      <c r="M15" s="629">
        <v>934091.85430000001</v>
      </c>
      <c r="N15" s="629">
        <v>1047767.4538</v>
      </c>
      <c r="O15" s="632">
        <f t="shared" si="0"/>
        <v>12152506.586399999</v>
      </c>
    </row>
    <row r="16" spans="1:15" x14ac:dyDescent="0.2">
      <c r="A16" s="602" t="s">
        <v>155</v>
      </c>
      <c r="B16" s="622">
        <v>1.6E-2</v>
      </c>
      <c r="C16" s="629">
        <v>566906.38399999996</v>
      </c>
      <c r="D16" s="630">
        <v>654946.46400000004</v>
      </c>
      <c r="E16" s="629">
        <v>553201.152</v>
      </c>
      <c r="F16" s="630">
        <v>610492.81599999999</v>
      </c>
      <c r="G16" s="629">
        <v>516360.43200000003</v>
      </c>
      <c r="H16" s="629">
        <v>553059.424</v>
      </c>
      <c r="I16" s="629">
        <v>618657.96799999999</v>
      </c>
      <c r="J16" s="630">
        <v>532037.93599999999</v>
      </c>
      <c r="K16" s="629">
        <v>593417.66399999999</v>
      </c>
      <c r="L16" s="630">
        <v>592035.64800000004</v>
      </c>
      <c r="M16" s="629">
        <v>531867.24800000002</v>
      </c>
      <c r="N16" s="629">
        <v>596593.56799999997</v>
      </c>
      <c r="O16" s="632">
        <f t="shared" si="0"/>
        <v>6919576.7039999999</v>
      </c>
    </row>
    <row r="17" spans="1:16" x14ac:dyDescent="0.2">
      <c r="A17" s="602" t="s">
        <v>156</v>
      </c>
      <c r="B17" s="622">
        <v>2.8400000000000002E-2</v>
      </c>
      <c r="C17" s="629">
        <v>1006258.8316</v>
      </c>
      <c r="D17" s="630">
        <v>1162529.9736000001</v>
      </c>
      <c r="E17" s="629">
        <v>981932.04480000003</v>
      </c>
      <c r="F17" s="630">
        <v>1083624.7484000002</v>
      </c>
      <c r="G17" s="629">
        <v>916539.7668000001</v>
      </c>
      <c r="H17" s="629">
        <v>981680.4776000001</v>
      </c>
      <c r="I17" s="629">
        <v>1098117.8932</v>
      </c>
      <c r="J17" s="630">
        <v>944367.33640000003</v>
      </c>
      <c r="K17" s="629">
        <v>1053316.3536</v>
      </c>
      <c r="L17" s="630">
        <v>1050863.2752</v>
      </c>
      <c r="M17" s="629">
        <v>944064.3652</v>
      </c>
      <c r="N17" s="629">
        <v>1058953.5832</v>
      </c>
      <c r="O17" s="632">
        <f t="shared" si="0"/>
        <v>12282248.649600001</v>
      </c>
    </row>
    <row r="18" spans="1:16" x14ac:dyDescent="0.2">
      <c r="A18" s="602" t="s">
        <v>157</v>
      </c>
      <c r="B18" s="622">
        <v>3.3300000000000003E-2</v>
      </c>
      <c r="C18" s="629">
        <v>1179873.9117000001</v>
      </c>
      <c r="D18" s="630">
        <v>1363107.3282000001</v>
      </c>
      <c r="E18" s="629">
        <v>1151349.8976</v>
      </c>
      <c r="F18" s="630">
        <v>1270588.1733000001</v>
      </c>
      <c r="G18" s="629">
        <v>1074675.1491</v>
      </c>
      <c r="H18" s="629">
        <v>1151054.9262000001</v>
      </c>
      <c r="I18" s="629">
        <v>1287581.8959000001</v>
      </c>
      <c r="J18" s="630">
        <v>1107303.9543000001</v>
      </c>
      <c r="K18" s="629">
        <v>1235050.5132000002</v>
      </c>
      <c r="L18" s="630">
        <v>1232174.1924000001</v>
      </c>
      <c r="M18" s="629">
        <v>1106948.7099000001</v>
      </c>
      <c r="N18" s="629">
        <v>1241660.3634000001</v>
      </c>
      <c r="O18" s="632">
        <f t="shared" si="0"/>
        <v>14401369.0152</v>
      </c>
    </row>
    <row r="19" spans="1:16" x14ac:dyDescent="0.2">
      <c r="A19" s="602" t="s">
        <v>158</v>
      </c>
      <c r="B19" s="622">
        <v>4.6899999999999997E-2</v>
      </c>
      <c r="C19" s="629">
        <v>1661744.3380999998</v>
      </c>
      <c r="D19" s="630">
        <v>1919811.8225999998</v>
      </c>
      <c r="E19" s="629">
        <v>1621570.8768</v>
      </c>
      <c r="F19" s="630">
        <v>1789507.0669</v>
      </c>
      <c r="G19" s="629">
        <v>1513581.5163</v>
      </c>
      <c r="H19" s="629">
        <v>1621155.4365999999</v>
      </c>
      <c r="I19" s="629">
        <v>1813441.1686999998</v>
      </c>
      <c r="J19" s="630">
        <v>1559536.1998999999</v>
      </c>
      <c r="K19" s="629">
        <v>1739455.5275999999</v>
      </c>
      <c r="L19" s="630">
        <v>1735404.4931999999</v>
      </c>
      <c r="M19" s="629">
        <v>1559035.8706999999</v>
      </c>
      <c r="N19" s="629">
        <v>1748764.8961999998</v>
      </c>
      <c r="O19" s="632">
        <f t="shared" si="0"/>
        <v>20283009.213600002</v>
      </c>
    </row>
    <row r="20" spans="1:16" x14ac:dyDescent="0.2">
      <c r="A20" s="602" t="s">
        <v>285</v>
      </c>
      <c r="B20" s="622">
        <v>2.1299999999999999E-2</v>
      </c>
      <c r="C20" s="629">
        <v>754694.1237</v>
      </c>
      <c r="D20" s="630">
        <v>871897.48019999999</v>
      </c>
      <c r="E20" s="629">
        <v>736449.03359999997</v>
      </c>
      <c r="F20" s="630">
        <v>812718.56129999994</v>
      </c>
      <c r="G20" s="629">
        <v>687404.82510000002</v>
      </c>
      <c r="H20" s="629">
        <v>736260.35820000002</v>
      </c>
      <c r="I20" s="629">
        <v>823588.41989999998</v>
      </c>
      <c r="J20" s="630">
        <v>708275.50229999993</v>
      </c>
      <c r="K20" s="629">
        <v>789987.26520000002</v>
      </c>
      <c r="L20" s="630">
        <v>788147.45640000002</v>
      </c>
      <c r="M20" s="629">
        <v>708048.27390000003</v>
      </c>
      <c r="N20" s="629">
        <v>794215.18739999994</v>
      </c>
      <c r="O20" s="632">
        <f t="shared" si="0"/>
        <v>9211686.4872000013</v>
      </c>
    </row>
    <row r="21" spans="1:16" x14ac:dyDescent="0.2">
      <c r="A21" s="602" t="s">
        <v>286</v>
      </c>
      <c r="B21" s="622">
        <v>2.81E-2</v>
      </c>
      <c r="C21" s="629">
        <v>995629.33689999999</v>
      </c>
      <c r="D21" s="630">
        <v>1150249.7274</v>
      </c>
      <c r="E21" s="629">
        <v>971559.52320000005</v>
      </c>
      <c r="F21" s="630">
        <v>1072178.0081</v>
      </c>
      <c r="G21" s="629">
        <v>906858.00870000001</v>
      </c>
      <c r="H21" s="629">
        <v>971310.61340000003</v>
      </c>
      <c r="I21" s="629">
        <v>1086518.0563000001</v>
      </c>
      <c r="J21" s="630">
        <v>934391.62509999995</v>
      </c>
      <c r="K21" s="629">
        <v>1042189.7724</v>
      </c>
      <c r="L21" s="630">
        <v>1039762.6068</v>
      </c>
      <c r="M21" s="629">
        <v>934091.85430000001</v>
      </c>
      <c r="N21" s="629">
        <v>1047767.4538</v>
      </c>
      <c r="O21" s="632">
        <f t="shared" si="0"/>
        <v>12152506.586399999</v>
      </c>
    </row>
    <row r="22" spans="1:16" x14ac:dyDescent="0.2">
      <c r="A22" s="602" t="s">
        <v>287</v>
      </c>
      <c r="B22" s="622">
        <v>8.3400000000000002E-2</v>
      </c>
      <c r="C22" s="629">
        <v>2954999.5266</v>
      </c>
      <c r="D22" s="630">
        <v>3413908.4435999999</v>
      </c>
      <c r="E22" s="629">
        <v>2883561.0048000002</v>
      </c>
      <c r="F22" s="630">
        <v>3182193.8034000001</v>
      </c>
      <c r="G22" s="629">
        <v>2691528.7518000002</v>
      </c>
      <c r="H22" s="629">
        <v>2882822.2475999999</v>
      </c>
      <c r="I22" s="629">
        <v>3224754.6581999999</v>
      </c>
      <c r="J22" s="630">
        <v>2773247.7414000002</v>
      </c>
      <c r="K22" s="629">
        <v>3093189.5736000002</v>
      </c>
      <c r="L22" s="630">
        <v>3085985.8152000001</v>
      </c>
      <c r="M22" s="629">
        <v>2772358.0301999999</v>
      </c>
      <c r="N22" s="629">
        <v>3109743.9731999999</v>
      </c>
      <c r="O22" s="632">
        <f t="shared" si="0"/>
        <v>36068293.569600001</v>
      </c>
    </row>
    <row r="23" spans="1:16" x14ac:dyDescent="0.2">
      <c r="A23" s="602" t="s">
        <v>162</v>
      </c>
      <c r="B23" s="622">
        <v>3.5000000000000003E-2</v>
      </c>
      <c r="C23" s="629">
        <v>1240107.7150000001</v>
      </c>
      <c r="D23" s="630">
        <v>1432695.3900000001</v>
      </c>
      <c r="E23" s="629">
        <v>1210127.52</v>
      </c>
      <c r="F23" s="630">
        <v>1335453.0350000001</v>
      </c>
      <c r="G23" s="629">
        <v>1129538.4450000001</v>
      </c>
      <c r="H23" s="629">
        <v>1209817.4900000002</v>
      </c>
      <c r="I23" s="629">
        <v>1353314.3050000002</v>
      </c>
      <c r="J23" s="630">
        <v>1163832.9850000001</v>
      </c>
      <c r="K23" s="629">
        <v>1298101.1400000001</v>
      </c>
      <c r="L23" s="630">
        <v>1295077.9800000002</v>
      </c>
      <c r="M23" s="629">
        <v>1163459.6050000002</v>
      </c>
      <c r="N23" s="629">
        <v>1305048.4300000002</v>
      </c>
      <c r="O23" s="632">
        <f t="shared" si="0"/>
        <v>15136574.040000001</v>
      </c>
    </row>
    <row r="24" spans="1:16" x14ac:dyDescent="0.2">
      <c r="A24" s="602" t="s">
        <v>163</v>
      </c>
      <c r="B24" s="622">
        <v>0.39</v>
      </c>
      <c r="C24" s="629">
        <v>13818343.110000001</v>
      </c>
      <c r="D24" s="630">
        <v>15964320.060000001</v>
      </c>
      <c r="E24" s="629">
        <v>13484278.08</v>
      </c>
      <c r="F24" s="630">
        <v>14880762.390000001</v>
      </c>
      <c r="G24" s="629">
        <v>12586285.530000001</v>
      </c>
      <c r="H24" s="629">
        <v>13480823.460000001</v>
      </c>
      <c r="I24" s="629">
        <v>15079787.970000001</v>
      </c>
      <c r="J24" s="630">
        <v>12968424.690000001</v>
      </c>
      <c r="K24" s="629">
        <v>14464555.560000001</v>
      </c>
      <c r="L24" s="630">
        <v>14430868.92</v>
      </c>
      <c r="M24" s="629">
        <v>12964264.17</v>
      </c>
      <c r="N24" s="629">
        <v>14541968.220000001</v>
      </c>
      <c r="O24" s="632">
        <f t="shared" si="0"/>
        <v>168664682.15999997</v>
      </c>
    </row>
    <row r="25" spans="1:16" x14ac:dyDescent="0.2">
      <c r="A25" s="602" t="s">
        <v>164</v>
      </c>
      <c r="B25" s="622">
        <v>3.7900000000000003E-2</v>
      </c>
      <c r="C25" s="629">
        <v>1342859.4971</v>
      </c>
      <c r="D25" s="630">
        <v>1551404.4366000001</v>
      </c>
      <c r="E25" s="629">
        <v>1310395.2288000002</v>
      </c>
      <c r="F25" s="630">
        <v>1446104.8579000002</v>
      </c>
      <c r="G25" s="629">
        <v>1223128.7733</v>
      </c>
      <c r="H25" s="629">
        <v>1310059.5106000002</v>
      </c>
      <c r="I25" s="629">
        <v>1465446.0617000002</v>
      </c>
      <c r="J25" s="630">
        <v>1260264.8609000002</v>
      </c>
      <c r="K25" s="629">
        <v>1405658.0916000002</v>
      </c>
      <c r="L25" s="630">
        <v>1402384.4412</v>
      </c>
      <c r="M25" s="629">
        <v>1259860.5437</v>
      </c>
      <c r="N25" s="629">
        <v>1413181.0142000001</v>
      </c>
      <c r="O25" s="632">
        <f t="shared" si="0"/>
        <v>16390747.317600001</v>
      </c>
    </row>
    <row r="26" spans="1:16" ht="13.5" thickBot="1" x14ac:dyDescent="0.25">
      <c r="A26" s="602" t="s">
        <v>165</v>
      </c>
      <c r="B26" s="622">
        <v>3.1E-2</v>
      </c>
      <c r="C26" s="629">
        <v>1098381.1189999999</v>
      </c>
      <c r="D26" s="630">
        <v>1268958.774</v>
      </c>
      <c r="E26" s="629">
        <v>1071827.2320000001</v>
      </c>
      <c r="F26" s="630">
        <v>1182829.831</v>
      </c>
      <c r="G26" s="629">
        <v>1000448.3369999999</v>
      </c>
      <c r="H26" s="629">
        <v>1071552.6340000001</v>
      </c>
      <c r="I26" s="635">
        <v>1198649.8130000001</v>
      </c>
      <c r="J26" s="630">
        <v>1030823.501</v>
      </c>
      <c r="K26" s="629">
        <v>1149746.7239999999</v>
      </c>
      <c r="L26" s="630">
        <v>1147069.068</v>
      </c>
      <c r="M26" s="629">
        <v>1030492.7929999999</v>
      </c>
      <c r="N26" s="629">
        <v>1155900.0379999999</v>
      </c>
      <c r="O26" s="632">
        <f t="shared" si="0"/>
        <v>13406679.864</v>
      </c>
    </row>
    <row r="27" spans="1:16" ht="13.5" thickBot="1" x14ac:dyDescent="0.25">
      <c r="A27" s="607" t="s">
        <v>288</v>
      </c>
      <c r="B27" s="623">
        <f t="shared" ref="B27:N27" si="1">SUM(B7:B26)</f>
        <v>1</v>
      </c>
      <c r="C27" s="637">
        <f t="shared" si="1"/>
        <v>35431649.000000007</v>
      </c>
      <c r="D27" s="637">
        <f t="shared" si="1"/>
        <v>40934153.999999993</v>
      </c>
      <c r="E27" s="637">
        <f t="shared" si="1"/>
        <v>34575072</v>
      </c>
      <c r="F27" s="637">
        <f t="shared" si="1"/>
        <v>38155801</v>
      </c>
      <c r="G27" s="637">
        <f t="shared" si="1"/>
        <v>32272527</v>
      </c>
      <c r="H27" s="637">
        <f t="shared" si="1"/>
        <v>34566214.000000007</v>
      </c>
      <c r="I27" s="637">
        <f t="shared" si="1"/>
        <v>38666123.000000007</v>
      </c>
      <c r="J27" s="637">
        <f t="shared" si="1"/>
        <v>33252371</v>
      </c>
      <c r="K27" s="637">
        <f t="shared" si="1"/>
        <v>37088604</v>
      </c>
      <c r="L27" s="637">
        <f t="shared" si="1"/>
        <v>37002228</v>
      </c>
      <c r="M27" s="637">
        <f t="shared" si="1"/>
        <v>33241703</v>
      </c>
      <c r="N27" s="637">
        <f t="shared" si="1"/>
        <v>37287098.000000007</v>
      </c>
      <c r="O27" s="637">
        <f t="shared" si="0"/>
        <v>432473544</v>
      </c>
    </row>
    <row r="28" spans="1:16" x14ac:dyDescent="0.2">
      <c r="A28" s="610"/>
      <c r="B28" s="610"/>
      <c r="C28" s="610"/>
      <c r="D28" s="610"/>
      <c r="E28" s="610"/>
      <c r="F28" s="610"/>
      <c r="G28" s="610"/>
      <c r="H28" s="610"/>
      <c r="I28" s="610"/>
      <c r="J28" s="610"/>
      <c r="K28" s="610"/>
      <c r="L28" s="610"/>
      <c r="M28" s="610"/>
      <c r="N28" s="610"/>
      <c r="O28" s="610"/>
      <c r="P28" s="606"/>
    </row>
    <row r="29" spans="1:16" x14ac:dyDescent="0.2">
      <c r="A29" s="611"/>
      <c r="M29" s="606"/>
      <c r="O29" s="606"/>
    </row>
    <row r="31" spans="1:16" x14ac:dyDescent="0.2">
      <c r="M31" s="606"/>
    </row>
    <row r="32" spans="1:16" x14ac:dyDescent="0.2">
      <c r="O32" s="606"/>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32"/>
  <sheetViews>
    <sheetView workbookViewId="0">
      <selection activeCell="C32" sqref="C32"/>
    </sheetView>
  </sheetViews>
  <sheetFormatPr baseColWidth="10" defaultRowHeight="12.75" x14ac:dyDescent="0.2"/>
  <cols>
    <col min="1" max="1" width="16.42578125" style="597" bestFit="1" customWidth="1"/>
    <col min="2" max="2" width="12.28515625" style="597" bestFit="1" customWidth="1"/>
    <col min="3" max="3" width="13.85546875" style="597" bestFit="1" customWidth="1"/>
    <col min="4" max="4" width="17" style="597" bestFit="1" customWidth="1"/>
    <col min="5" max="5" width="14.5703125" style="597" customWidth="1"/>
    <col min="6" max="10" width="13.28515625" style="597" bestFit="1" customWidth="1"/>
    <col min="11" max="11" width="11.5703125" style="597" customWidth="1"/>
    <col min="12" max="12" width="11.7109375" style="597" bestFit="1" customWidth="1"/>
    <col min="13" max="14" width="13.28515625" style="597" bestFit="1" customWidth="1"/>
    <col min="15" max="15" width="15.28515625" style="597" bestFit="1" customWidth="1"/>
    <col min="16" max="19" width="11.42578125" style="597"/>
    <col min="20" max="20" width="11.7109375" style="597" bestFit="1" customWidth="1"/>
    <col min="21" max="16384" width="11.42578125" style="597"/>
  </cols>
  <sheetData>
    <row r="1" spans="1:18" ht="15.75" x14ac:dyDescent="0.25">
      <c r="A1" s="1253" t="s">
        <v>277</v>
      </c>
      <c r="B1" s="1253"/>
      <c r="C1" s="1253"/>
      <c r="D1" s="1253"/>
      <c r="E1" s="1253"/>
      <c r="F1" s="1253"/>
      <c r="G1" s="1253"/>
      <c r="H1" s="1253"/>
      <c r="I1" s="1253"/>
      <c r="J1" s="1253"/>
      <c r="K1" s="1253"/>
      <c r="L1" s="1253"/>
      <c r="M1" s="1253"/>
      <c r="N1" s="1253"/>
      <c r="O1" s="1253"/>
    </row>
    <row r="2" spans="1:18" x14ac:dyDescent="0.2">
      <c r="A2" s="1254" t="s">
        <v>278</v>
      </c>
      <c r="B2" s="1254"/>
      <c r="C2" s="1254"/>
      <c r="D2" s="1254"/>
      <c r="E2" s="1254"/>
      <c r="F2" s="1254"/>
      <c r="G2" s="1254"/>
      <c r="H2" s="1254"/>
      <c r="I2" s="1254"/>
      <c r="J2" s="1254"/>
      <c r="K2" s="1254"/>
      <c r="L2" s="1254"/>
      <c r="M2" s="1254"/>
      <c r="N2" s="1254"/>
      <c r="O2" s="1254"/>
    </row>
    <row r="3" spans="1:18" x14ac:dyDescent="0.2">
      <c r="A3" s="1254" t="s">
        <v>279</v>
      </c>
      <c r="B3" s="1254"/>
      <c r="C3" s="1254"/>
      <c r="D3" s="1254"/>
      <c r="E3" s="1254"/>
      <c r="F3" s="1254"/>
      <c r="G3" s="1254"/>
      <c r="H3" s="1254"/>
      <c r="I3" s="1254"/>
      <c r="J3" s="1254"/>
      <c r="K3" s="1254"/>
      <c r="L3" s="1254"/>
      <c r="M3" s="1254"/>
      <c r="N3" s="1254"/>
      <c r="O3" s="1254"/>
    </row>
    <row r="4" spans="1:18" x14ac:dyDescent="0.2">
      <c r="A4" s="1255" t="s">
        <v>358</v>
      </c>
      <c r="B4" s="1255"/>
      <c r="C4" s="1255"/>
      <c r="D4" s="1255"/>
      <c r="E4" s="1255"/>
      <c r="F4" s="1255"/>
      <c r="G4" s="1255"/>
      <c r="H4" s="1255"/>
      <c r="I4" s="1255"/>
      <c r="J4" s="1255"/>
      <c r="K4" s="1255"/>
      <c r="L4" s="1255"/>
      <c r="M4" s="1255"/>
      <c r="N4" s="1255"/>
      <c r="O4" s="1255"/>
    </row>
    <row r="5" spans="1:18" ht="13.5" thickBot="1" x14ac:dyDescent="0.25">
      <c r="A5" s="597" t="s">
        <v>345</v>
      </c>
    </row>
    <row r="6" spans="1:18" ht="23.25" thickBot="1" x14ac:dyDescent="0.25">
      <c r="A6" s="624" t="s">
        <v>346</v>
      </c>
      <c r="B6" s="625" t="s">
        <v>281</v>
      </c>
      <c r="C6" s="624" t="s">
        <v>1</v>
      </c>
      <c r="D6" s="626" t="s">
        <v>2</v>
      </c>
      <c r="E6" s="624" t="s">
        <v>3</v>
      </c>
      <c r="F6" s="626" t="s">
        <v>4</v>
      </c>
      <c r="G6" s="624" t="s">
        <v>5</v>
      </c>
      <c r="H6" s="624" t="s">
        <v>6</v>
      </c>
      <c r="I6" s="624" t="s">
        <v>7</v>
      </c>
      <c r="J6" s="626" t="s">
        <v>8</v>
      </c>
      <c r="K6" s="624" t="s">
        <v>9</v>
      </c>
      <c r="L6" s="626" t="s">
        <v>10</v>
      </c>
      <c r="M6" s="624" t="s">
        <v>11</v>
      </c>
      <c r="N6" s="624" t="s">
        <v>12</v>
      </c>
      <c r="O6" s="627" t="s">
        <v>168</v>
      </c>
    </row>
    <row r="7" spans="1:18" x14ac:dyDescent="0.2">
      <c r="A7" s="602" t="s">
        <v>282</v>
      </c>
      <c r="B7" s="603">
        <f>FGP!U8</f>
        <v>3.7409604047338894</v>
      </c>
      <c r="C7" s="629">
        <f>$C$32*B7/100</f>
        <v>2175266.3302720417</v>
      </c>
      <c r="D7" s="629">
        <f>$D$32*B7/100</f>
        <v>3801470.0906144544</v>
      </c>
      <c r="E7" s="629">
        <f>$E$32*B7/100</f>
        <v>1647065.7790945182</v>
      </c>
      <c r="F7" s="629">
        <f>$F$32*B7/100</f>
        <v>2626557.0646970375</v>
      </c>
      <c r="G7" s="629">
        <f>$G$32*B7/100</f>
        <v>3489745.7079833476</v>
      </c>
      <c r="H7" s="629">
        <f>$H$32*B7/100</f>
        <v>3258857.9437983949</v>
      </c>
      <c r="I7" s="629">
        <f>$I$32*B7/100</f>
        <v>1803536.2284460706</v>
      </c>
      <c r="J7" s="629">
        <f>$J$32*B7/100</f>
        <v>2454969.044613536</v>
      </c>
      <c r="K7" s="629">
        <f>$K$32*B7/100</f>
        <v>1759530.6489861938</v>
      </c>
      <c r="L7" s="629">
        <f>$L$32*B7/100</f>
        <v>-146330.12104558875</v>
      </c>
      <c r="M7" s="629">
        <f>$M$32*B7/100</f>
        <v>1915298.2491902926</v>
      </c>
      <c r="N7" s="629">
        <f>$N$32*B7/100</f>
        <v>1747811.9664533467</v>
      </c>
      <c r="O7" s="632">
        <f>SUM(C7:N7)</f>
        <v>26533778.933103643</v>
      </c>
      <c r="R7" s="865"/>
    </row>
    <row r="8" spans="1:18" x14ac:dyDescent="0.2">
      <c r="A8" s="602" t="s">
        <v>147</v>
      </c>
      <c r="B8" s="603">
        <f>FGP!U9</f>
        <v>3.1434770533559684</v>
      </c>
      <c r="C8" s="629">
        <f t="shared" ref="C8:C26" si="0">$C$32*B8/100</f>
        <v>1827846.0754343155</v>
      </c>
      <c r="D8" s="629">
        <f t="shared" ref="D8:D26" si="1">$D$32*B8/100</f>
        <v>3194322.5017148005</v>
      </c>
      <c r="E8" s="629">
        <f t="shared" ref="E8:E26" si="2">$E$32*B8/100</f>
        <v>1384006.4907930472</v>
      </c>
      <c r="F8" s="629">
        <f t="shared" ref="F8:F26" si="3">$F$32*B8/100</f>
        <v>2207059.4095989815</v>
      </c>
      <c r="G8" s="629">
        <f t="shared" ref="G8:G26" si="4">$G$32*B8/100</f>
        <v>2932384.833908305</v>
      </c>
      <c r="H8" s="629">
        <f t="shared" ref="H8:H26" si="5">$H$32*B8/100</f>
        <v>2738373.0534848524</v>
      </c>
      <c r="I8" s="629">
        <f t="shared" ref="I8:I26" si="6">$I$32*B8/100</f>
        <v>1515486.4354731597</v>
      </c>
      <c r="J8" s="629">
        <f t="shared" ref="J8:J26" si="7">$J$32*B8/100</f>
        <v>2062876.3802676038</v>
      </c>
      <c r="K8" s="629">
        <f t="shared" ref="K8:K26" si="8">$K$32*B8/100</f>
        <v>1478509.1584411147</v>
      </c>
      <c r="L8" s="629">
        <f t="shared" ref="L8:L26" si="9">$L$32*B8/100</f>
        <v>-122959.16768847231</v>
      </c>
      <c r="M8" s="629">
        <f t="shared" ref="M8:M26" si="10">$M$32*B8/100</f>
        <v>1609398.5087476019</v>
      </c>
      <c r="N8" s="629">
        <f t="shared" ref="N8:N26" si="11">$N$32*B8/100</f>
        <v>1468662.1123213661</v>
      </c>
      <c r="O8" s="632">
        <f t="shared" ref="O8:O26" si="12">SUM(C8:N8)</f>
        <v>22295965.792496677</v>
      </c>
      <c r="R8" s="865"/>
    </row>
    <row r="9" spans="1:18" x14ac:dyDescent="0.2">
      <c r="A9" s="602" t="s">
        <v>148</v>
      </c>
      <c r="B9" s="603">
        <f>FGP!U10</f>
        <v>2.6603597159645074</v>
      </c>
      <c r="C9" s="629">
        <f t="shared" si="0"/>
        <v>1546926.5350220511</v>
      </c>
      <c r="D9" s="629">
        <f t="shared" si="1"/>
        <v>2703390.7864186657</v>
      </c>
      <c r="E9" s="629">
        <f t="shared" si="2"/>
        <v>1171300.1406542414</v>
      </c>
      <c r="F9" s="629">
        <f t="shared" si="3"/>
        <v>1867859.0122899304</v>
      </c>
      <c r="G9" s="629">
        <f t="shared" si="4"/>
        <v>2481710.01455423</v>
      </c>
      <c r="H9" s="629">
        <f t="shared" si="5"/>
        <v>2317515.6793323215</v>
      </c>
      <c r="I9" s="629">
        <f t="shared" si="6"/>
        <v>1282573.0853416487</v>
      </c>
      <c r="J9" s="629">
        <f t="shared" si="7"/>
        <v>1745835.3052775254</v>
      </c>
      <c r="K9" s="629">
        <f t="shared" si="8"/>
        <v>1251278.8030700192</v>
      </c>
      <c r="L9" s="629">
        <f t="shared" si="9"/>
        <v>-104061.71601529859</v>
      </c>
      <c r="M9" s="629">
        <f t="shared" si="10"/>
        <v>1362051.9211471477</v>
      </c>
      <c r="N9" s="629">
        <f t="shared" si="11"/>
        <v>1242945.1380317279</v>
      </c>
      <c r="O9" s="632">
        <f t="shared" si="12"/>
        <v>18869324.705124214</v>
      </c>
      <c r="R9" s="865"/>
    </row>
    <row r="10" spans="1:18" x14ac:dyDescent="0.2">
      <c r="A10" s="602" t="s">
        <v>283</v>
      </c>
      <c r="B10" s="603">
        <f>FGP!U11</f>
        <v>10.664297612988729</v>
      </c>
      <c r="C10" s="629">
        <f t="shared" si="0"/>
        <v>6200997.8785608234</v>
      </c>
      <c r="D10" s="629">
        <f t="shared" si="1"/>
        <v>10836791.632942064</v>
      </c>
      <c r="E10" s="629">
        <f t="shared" si="2"/>
        <v>4695264.7866056608</v>
      </c>
      <c r="F10" s="629">
        <f t="shared" si="3"/>
        <v>7487485.3526870729</v>
      </c>
      <c r="G10" s="629">
        <f t="shared" si="4"/>
        <v>9948163.7860937994</v>
      </c>
      <c r="H10" s="629">
        <f t="shared" si="5"/>
        <v>9289975.6295578182</v>
      </c>
      <c r="I10" s="629">
        <f t="shared" si="6"/>
        <v>5141312.6617479613</v>
      </c>
      <c r="J10" s="629">
        <f t="shared" si="7"/>
        <v>6998342.0539025161</v>
      </c>
      <c r="K10" s="629">
        <f t="shared" si="8"/>
        <v>5015866.6411490003</v>
      </c>
      <c r="L10" s="629">
        <f t="shared" si="9"/>
        <v>-417140.99903332972</v>
      </c>
      <c r="M10" s="629">
        <f t="shared" si="10"/>
        <v>5459910.9151636353</v>
      </c>
      <c r="N10" s="629">
        <f t="shared" si="11"/>
        <v>4982460.3752060952</v>
      </c>
      <c r="O10" s="632">
        <f t="shared" si="12"/>
        <v>75639430.714583114</v>
      </c>
      <c r="R10" s="865"/>
    </row>
    <row r="11" spans="1:18" x14ac:dyDescent="0.2">
      <c r="A11" s="602" t="s">
        <v>150</v>
      </c>
      <c r="B11" s="603">
        <f>FGP!U12</f>
        <v>6.2620312493312147</v>
      </c>
      <c r="C11" s="629">
        <f t="shared" si="0"/>
        <v>3641200.1898080828</v>
      </c>
      <c r="D11" s="629">
        <f t="shared" si="1"/>
        <v>6363319.0211536121</v>
      </c>
      <c r="E11" s="629">
        <f t="shared" si="2"/>
        <v>2757039.974371932</v>
      </c>
      <c r="F11" s="629">
        <f t="shared" si="3"/>
        <v>4396620.2893971838</v>
      </c>
      <c r="G11" s="629">
        <f t="shared" si="4"/>
        <v>5841520.4416379537</v>
      </c>
      <c r="H11" s="629">
        <f t="shared" si="5"/>
        <v>5455035.0908214059</v>
      </c>
      <c r="I11" s="629">
        <f t="shared" si="6"/>
        <v>3018957.4333742862</v>
      </c>
      <c r="J11" s="629">
        <f t="shared" si="7"/>
        <v>4109397.3766889721</v>
      </c>
      <c r="K11" s="629">
        <f t="shared" si="8"/>
        <v>2945296.0512933717</v>
      </c>
      <c r="L11" s="629">
        <f t="shared" si="9"/>
        <v>-244943.46145614394</v>
      </c>
      <c r="M11" s="629">
        <f t="shared" si="10"/>
        <v>3206037.0040383087</v>
      </c>
      <c r="N11" s="629">
        <f t="shared" si="11"/>
        <v>2925680.0307311602</v>
      </c>
      <c r="O11" s="632">
        <f t="shared" si="12"/>
        <v>44415159.441860139</v>
      </c>
      <c r="R11" s="865"/>
    </row>
    <row r="12" spans="1:18" x14ac:dyDescent="0.2">
      <c r="A12" s="602" t="s">
        <v>284</v>
      </c>
      <c r="B12" s="603">
        <f>FGP!U13</f>
        <v>4.4840019348333104</v>
      </c>
      <c r="C12" s="629">
        <f t="shared" si="0"/>
        <v>2607324.6916419654</v>
      </c>
      <c r="D12" s="629">
        <f t="shared" si="1"/>
        <v>4556530.2482100753</v>
      </c>
      <c r="E12" s="629">
        <f t="shared" si="2"/>
        <v>1974211.2562623906</v>
      </c>
      <c r="F12" s="629">
        <f t="shared" si="3"/>
        <v>3148252.2362835323</v>
      </c>
      <c r="G12" s="629">
        <f t="shared" si="4"/>
        <v>4182890.1708962847</v>
      </c>
      <c r="H12" s="629">
        <f t="shared" si="5"/>
        <v>3906142.7399358884</v>
      </c>
      <c r="I12" s="629">
        <f t="shared" si="6"/>
        <v>2161760.3671133798</v>
      </c>
      <c r="J12" s="629">
        <f t="shared" si="7"/>
        <v>2942582.8544116956</v>
      </c>
      <c r="K12" s="629">
        <f t="shared" si="8"/>
        <v>2109014.2586028879</v>
      </c>
      <c r="L12" s="629">
        <f t="shared" si="9"/>
        <v>-175394.67807852587</v>
      </c>
      <c r="M12" s="629">
        <f t="shared" si="10"/>
        <v>2295720.9181589936</v>
      </c>
      <c r="N12" s="629">
        <f t="shared" si="11"/>
        <v>2094967.9738348133</v>
      </c>
      <c r="O12" s="632">
        <f t="shared" si="12"/>
        <v>31804003.037273381</v>
      </c>
      <c r="R12" s="865"/>
    </row>
    <row r="13" spans="1:18" x14ac:dyDescent="0.2">
      <c r="A13" s="602" t="s">
        <v>152</v>
      </c>
      <c r="B13" s="603">
        <f>FGP!U14</f>
        <v>2.8247488936015976</v>
      </c>
      <c r="C13" s="629">
        <f t="shared" si="0"/>
        <v>1642514.3532525166</v>
      </c>
      <c r="D13" s="629">
        <f t="shared" si="1"/>
        <v>2870438.9436825914</v>
      </c>
      <c r="E13" s="629">
        <f t="shared" si="2"/>
        <v>1243677.220239718</v>
      </c>
      <c r="F13" s="629">
        <f t="shared" si="3"/>
        <v>1983277.9179100099</v>
      </c>
      <c r="G13" s="629">
        <f t="shared" si="4"/>
        <v>2635060.0543921296</v>
      </c>
      <c r="H13" s="629">
        <f t="shared" si="5"/>
        <v>2460719.8086086446</v>
      </c>
      <c r="I13" s="629">
        <f t="shared" si="6"/>
        <v>1361825.9523481464</v>
      </c>
      <c r="J13" s="629">
        <f t="shared" si="7"/>
        <v>1853714.1114412704</v>
      </c>
      <c r="K13" s="629">
        <f t="shared" si="8"/>
        <v>1328597.9310800554</v>
      </c>
      <c r="L13" s="629">
        <f t="shared" si="9"/>
        <v>-110491.90657058498</v>
      </c>
      <c r="M13" s="629">
        <f t="shared" si="10"/>
        <v>1446215.9512490777</v>
      </c>
      <c r="N13" s="629">
        <f t="shared" si="11"/>
        <v>1319749.3114910214</v>
      </c>
      <c r="O13" s="632">
        <f t="shared" si="12"/>
        <v>20035299.649124593</v>
      </c>
      <c r="R13" s="865"/>
    </row>
    <row r="14" spans="1:18" x14ac:dyDescent="0.2">
      <c r="A14" s="602" t="s">
        <v>153</v>
      </c>
      <c r="B14" s="603">
        <f>FGP!U15</f>
        <v>3.2830833450623955</v>
      </c>
      <c r="C14" s="629">
        <f t="shared" si="0"/>
        <v>1909023.3221805906</v>
      </c>
      <c r="D14" s="629">
        <f t="shared" si="1"/>
        <v>3336186.9121779557</v>
      </c>
      <c r="E14" s="629">
        <f t="shared" si="2"/>
        <v>1445472.1896347061</v>
      </c>
      <c r="F14" s="629">
        <f t="shared" si="3"/>
        <v>2305078.0604496193</v>
      </c>
      <c r="G14" s="629">
        <f t="shared" si="4"/>
        <v>3062616.2195903016</v>
      </c>
      <c r="H14" s="629">
        <f t="shared" si="5"/>
        <v>2859988.0997590693</v>
      </c>
      <c r="I14" s="629">
        <f t="shared" si="6"/>
        <v>1582791.3458627316</v>
      </c>
      <c r="J14" s="629">
        <f t="shared" si="7"/>
        <v>2154491.6574939732</v>
      </c>
      <c r="K14" s="629">
        <f t="shared" si="8"/>
        <v>1544171.8553084554</v>
      </c>
      <c r="L14" s="629">
        <f t="shared" si="9"/>
        <v>-128419.9593980762</v>
      </c>
      <c r="M14" s="629">
        <f t="shared" si="10"/>
        <v>1680874.1880258191</v>
      </c>
      <c r="N14" s="629">
        <f t="shared" si="11"/>
        <v>1533887.4878500404</v>
      </c>
      <c r="O14" s="632">
        <f t="shared" si="12"/>
        <v>23286161.378935188</v>
      </c>
      <c r="R14" s="865"/>
    </row>
    <row r="15" spans="1:18" x14ac:dyDescent="0.2">
      <c r="A15" s="602" t="s">
        <v>154</v>
      </c>
      <c r="B15" s="603">
        <f>FGP!U16</f>
        <v>3.2145773533348407</v>
      </c>
      <c r="C15" s="629">
        <f t="shared" si="0"/>
        <v>1869188.9585133693</v>
      </c>
      <c r="D15" s="629">
        <f t="shared" si="1"/>
        <v>3266572.8424191219</v>
      </c>
      <c r="E15" s="629">
        <f t="shared" si="2"/>
        <v>1415310.4497524542</v>
      </c>
      <c r="F15" s="629">
        <f t="shared" si="3"/>
        <v>2256979.4769098437</v>
      </c>
      <c r="G15" s="629">
        <f t="shared" si="4"/>
        <v>2998710.5737834508</v>
      </c>
      <c r="H15" s="629">
        <f t="shared" si="5"/>
        <v>2800310.5647986294</v>
      </c>
      <c r="I15" s="629">
        <f t="shared" si="6"/>
        <v>1549764.2553354099</v>
      </c>
      <c r="J15" s="629">
        <f t="shared" si="7"/>
        <v>2109535.2637163536</v>
      </c>
      <c r="K15" s="629">
        <f t="shared" si="8"/>
        <v>1511950.6128886493</v>
      </c>
      <c r="L15" s="629">
        <f t="shared" si="9"/>
        <v>-125740.30257809062</v>
      </c>
      <c r="M15" s="629">
        <f t="shared" si="10"/>
        <v>1645800.4658210089</v>
      </c>
      <c r="N15" s="629">
        <f t="shared" si="11"/>
        <v>1501880.8427212501</v>
      </c>
      <c r="O15" s="632">
        <f t="shared" si="12"/>
        <v>22800264.004081447</v>
      </c>
      <c r="R15" s="865"/>
    </row>
    <row r="16" spans="1:18" x14ac:dyDescent="0.2">
      <c r="A16" s="602" t="s">
        <v>155</v>
      </c>
      <c r="B16" s="603">
        <f>FGP!U17</f>
        <v>2.8913882559426334</v>
      </c>
      <c r="C16" s="629">
        <f t="shared" si="0"/>
        <v>1681263.3228988729</v>
      </c>
      <c r="D16" s="629">
        <f t="shared" si="1"/>
        <v>2938156.1914985534</v>
      </c>
      <c r="E16" s="629">
        <f t="shared" si="2"/>
        <v>1273017.1226652309</v>
      </c>
      <c r="F16" s="629">
        <f t="shared" si="3"/>
        <v>2030065.926604853</v>
      </c>
      <c r="G16" s="629">
        <f t="shared" si="4"/>
        <v>2697224.419569077</v>
      </c>
      <c r="H16" s="629">
        <f t="shared" si="5"/>
        <v>2518771.2691533579</v>
      </c>
      <c r="I16" s="629">
        <f t="shared" si="6"/>
        <v>1393953.1312593468</v>
      </c>
      <c r="J16" s="629">
        <f t="shared" si="7"/>
        <v>1897445.5477571981</v>
      </c>
      <c r="K16" s="629">
        <f t="shared" si="8"/>
        <v>1359941.219375642</v>
      </c>
      <c r="L16" s="629">
        <f t="shared" si="9"/>
        <v>-113098.54895723656</v>
      </c>
      <c r="M16" s="629">
        <f t="shared" si="10"/>
        <v>1480333.9958713711</v>
      </c>
      <c r="N16" s="629">
        <f t="shared" si="11"/>
        <v>1350883.8497740505</v>
      </c>
      <c r="O16" s="632">
        <f t="shared" si="12"/>
        <v>20507957.447470319</v>
      </c>
      <c r="R16" s="865"/>
    </row>
    <row r="17" spans="1:20" x14ac:dyDescent="0.2">
      <c r="A17" s="602" t="s">
        <v>156</v>
      </c>
      <c r="B17" s="603">
        <f>FGP!U18</f>
        <v>3.6079378597382386</v>
      </c>
      <c r="C17" s="629">
        <f t="shared" si="0"/>
        <v>2097917.3524721228</v>
      </c>
      <c r="D17" s="629">
        <f t="shared" si="1"/>
        <v>3666295.9183515017</v>
      </c>
      <c r="E17" s="629">
        <f t="shared" si="2"/>
        <v>1588498.7647435651</v>
      </c>
      <c r="F17" s="629">
        <f t="shared" si="3"/>
        <v>2533160.9130349727</v>
      </c>
      <c r="G17" s="629">
        <f t="shared" si="4"/>
        <v>3365655.9542195373</v>
      </c>
      <c r="H17" s="629">
        <f t="shared" si="5"/>
        <v>3142978.1881840895</v>
      </c>
      <c r="I17" s="629">
        <f t="shared" si="6"/>
        <v>1739405.3761664885</v>
      </c>
      <c r="J17" s="629">
        <f t="shared" si="7"/>
        <v>2367674.2874204926</v>
      </c>
      <c r="K17" s="629">
        <f t="shared" si="8"/>
        <v>1696964.5644508398</v>
      </c>
      <c r="L17" s="629">
        <f t="shared" si="9"/>
        <v>-141126.85690882479</v>
      </c>
      <c r="M17" s="629">
        <f t="shared" si="10"/>
        <v>1847193.3189134032</v>
      </c>
      <c r="N17" s="629">
        <f t="shared" si="11"/>
        <v>1685662.5794517442</v>
      </c>
      <c r="O17" s="632">
        <f t="shared" si="12"/>
        <v>25590280.360499933</v>
      </c>
      <c r="R17" s="865"/>
    </row>
    <row r="18" spans="1:20" x14ac:dyDescent="0.2">
      <c r="A18" s="602" t="s">
        <v>157</v>
      </c>
      <c r="B18" s="603">
        <f>FGP!U19</f>
        <v>3.0024932576536294</v>
      </c>
      <c r="C18" s="629">
        <f t="shared" si="0"/>
        <v>1745867.8477264857</v>
      </c>
      <c r="D18" s="629">
        <f t="shared" si="1"/>
        <v>3051058.3062569862</v>
      </c>
      <c r="E18" s="629">
        <f t="shared" si="2"/>
        <v>1321934.3060636038</v>
      </c>
      <c r="F18" s="629">
        <f t="shared" si="3"/>
        <v>2108073.6026010793</v>
      </c>
      <c r="G18" s="629">
        <f t="shared" si="4"/>
        <v>2800868.4470134173</v>
      </c>
      <c r="H18" s="629">
        <f t="shared" si="5"/>
        <v>2615558.0239565992</v>
      </c>
      <c r="I18" s="629">
        <f t="shared" si="6"/>
        <v>1447517.4233309166</v>
      </c>
      <c r="J18" s="629">
        <f t="shared" si="7"/>
        <v>1970357.1293812844</v>
      </c>
      <c r="K18" s="629">
        <f t="shared" si="8"/>
        <v>1412198.5636444506</v>
      </c>
      <c r="L18" s="629">
        <f t="shared" si="9"/>
        <v>-117444.4940061516</v>
      </c>
      <c r="M18" s="629">
        <f t="shared" si="10"/>
        <v>1537217.5744797077</v>
      </c>
      <c r="N18" s="629">
        <f t="shared" si="11"/>
        <v>1402793.1539403189</v>
      </c>
      <c r="O18" s="632">
        <f t="shared" si="12"/>
        <v>21295999.884388696</v>
      </c>
      <c r="R18" s="865"/>
    </row>
    <row r="19" spans="1:20" x14ac:dyDescent="0.2">
      <c r="A19" s="602" t="s">
        <v>158</v>
      </c>
      <c r="B19" s="603">
        <f>FGP!U20</f>
        <v>4.0688979500675648</v>
      </c>
      <c r="C19" s="629">
        <f t="shared" si="0"/>
        <v>2365953.0587104703</v>
      </c>
      <c r="D19" s="629">
        <f t="shared" si="1"/>
        <v>4134711.995179378</v>
      </c>
      <c r="E19" s="629">
        <f t="shared" si="2"/>
        <v>1791449.7474241098</v>
      </c>
      <c r="F19" s="629">
        <f t="shared" si="3"/>
        <v>2856804.536812915</v>
      </c>
      <c r="G19" s="629">
        <f t="shared" si="4"/>
        <v>3795661.4401751715</v>
      </c>
      <c r="H19" s="629">
        <f t="shared" si="5"/>
        <v>3544533.7486874382</v>
      </c>
      <c r="I19" s="629">
        <f t="shared" si="6"/>
        <v>1961636.6036675053</v>
      </c>
      <c r="J19" s="629">
        <f t="shared" si="7"/>
        <v>2670174.8835585197</v>
      </c>
      <c r="K19" s="629">
        <f t="shared" si="8"/>
        <v>1913773.4368108746</v>
      </c>
      <c r="L19" s="629">
        <f t="shared" si="9"/>
        <v>-159157.61332360006</v>
      </c>
      <c r="M19" s="629">
        <f t="shared" si="10"/>
        <v>2083195.8312193733</v>
      </c>
      <c r="N19" s="629">
        <f t="shared" si="11"/>
        <v>1901027.4790415659</v>
      </c>
      <c r="O19" s="632">
        <f t="shared" si="12"/>
        <v>28859765.147963721</v>
      </c>
      <c r="R19" s="865"/>
    </row>
    <row r="20" spans="1:20" x14ac:dyDescent="0.2">
      <c r="A20" s="602" t="s">
        <v>285</v>
      </c>
      <c r="B20" s="603">
        <f>FGP!U21</f>
        <v>2.7439260574816893</v>
      </c>
      <c r="C20" s="629">
        <f t="shared" si="0"/>
        <v>1595518.0808765097</v>
      </c>
      <c r="D20" s="629">
        <f t="shared" si="1"/>
        <v>2788308.8057213151</v>
      </c>
      <c r="E20" s="629">
        <f t="shared" si="2"/>
        <v>1208092.6341601615</v>
      </c>
      <c r="F20" s="629">
        <f t="shared" si="3"/>
        <v>1926531.5832171952</v>
      </c>
      <c r="G20" s="629">
        <f t="shared" si="4"/>
        <v>2559664.670602561</v>
      </c>
      <c r="H20" s="629">
        <f t="shared" si="5"/>
        <v>2390312.7171044471</v>
      </c>
      <c r="I20" s="629">
        <f t="shared" si="6"/>
        <v>1322860.8478676076</v>
      </c>
      <c r="J20" s="629">
        <f t="shared" si="7"/>
        <v>1800674.9077861968</v>
      </c>
      <c r="K20" s="629">
        <f t="shared" si="8"/>
        <v>1290583.5599279278</v>
      </c>
      <c r="L20" s="629">
        <f t="shared" si="9"/>
        <v>-107330.46829989168</v>
      </c>
      <c r="M20" s="629">
        <f t="shared" si="10"/>
        <v>1404836.246636549</v>
      </c>
      <c r="N20" s="629">
        <f t="shared" si="11"/>
        <v>1281988.1205534441</v>
      </c>
      <c r="O20" s="632">
        <f t="shared" si="12"/>
        <v>19462041.706154022</v>
      </c>
      <c r="R20" s="865"/>
    </row>
    <row r="21" spans="1:20" x14ac:dyDescent="0.2">
      <c r="A21" s="602" t="s">
        <v>286</v>
      </c>
      <c r="B21" s="603">
        <f>FGP!U22</f>
        <v>3.3920972600975436</v>
      </c>
      <c r="C21" s="629">
        <f t="shared" si="0"/>
        <v>1972411.9372022895</v>
      </c>
      <c r="D21" s="629">
        <f t="shared" si="1"/>
        <v>3446964.1171284528</v>
      </c>
      <c r="E21" s="629">
        <f t="shared" si="2"/>
        <v>1493468.711777068</v>
      </c>
      <c r="F21" s="629">
        <f t="shared" si="3"/>
        <v>2381617.5684122057</v>
      </c>
      <c r="G21" s="629">
        <f t="shared" si="4"/>
        <v>3164309.581974721</v>
      </c>
      <c r="H21" s="629">
        <f t="shared" si="5"/>
        <v>2954953.2489617448</v>
      </c>
      <c r="I21" s="629">
        <f t="shared" si="6"/>
        <v>1635347.5143059569</v>
      </c>
      <c r="J21" s="629">
        <f t="shared" si="7"/>
        <v>2226030.9837335022</v>
      </c>
      <c r="K21" s="629">
        <f t="shared" si="8"/>
        <v>1595445.6737716489</v>
      </c>
      <c r="L21" s="629">
        <f t="shared" si="9"/>
        <v>-132684.11021949648</v>
      </c>
      <c r="M21" s="629">
        <f t="shared" si="10"/>
        <v>1736687.1713281781</v>
      </c>
      <c r="N21" s="629">
        <f t="shared" si="11"/>
        <v>1584819.8166090546</v>
      </c>
      <c r="O21" s="632">
        <f t="shared" si="12"/>
        <v>24059372.214985326</v>
      </c>
      <c r="R21" s="865"/>
    </row>
    <row r="22" spans="1:20" x14ac:dyDescent="0.2">
      <c r="A22" s="602" t="s">
        <v>287</v>
      </c>
      <c r="B22" s="603">
        <f>FGP!U23</f>
        <v>6.3503751777162254</v>
      </c>
      <c r="C22" s="629">
        <f t="shared" si="0"/>
        <v>3692569.7719765282</v>
      </c>
      <c r="D22" s="629">
        <f t="shared" si="1"/>
        <v>6453091.9043463953</v>
      </c>
      <c r="E22" s="629">
        <f t="shared" si="2"/>
        <v>2795935.9383734758</v>
      </c>
      <c r="F22" s="629">
        <f t="shared" si="3"/>
        <v>4458647.2407995854</v>
      </c>
      <c r="G22" s="629">
        <f t="shared" si="4"/>
        <v>5923931.8578394866</v>
      </c>
      <c r="H22" s="629">
        <f t="shared" si="5"/>
        <v>5531994.0215921067</v>
      </c>
      <c r="I22" s="629">
        <f t="shared" si="6"/>
        <v>3061548.4950717026</v>
      </c>
      <c r="J22" s="629">
        <f t="shared" si="7"/>
        <v>4167372.224321764</v>
      </c>
      <c r="K22" s="629">
        <f t="shared" si="8"/>
        <v>2986847.9077226901</v>
      </c>
      <c r="L22" s="629">
        <f t="shared" si="9"/>
        <v>-248399.09218611981</v>
      </c>
      <c r="M22" s="629">
        <f t="shared" si="10"/>
        <v>3251267.3601651173</v>
      </c>
      <c r="N22" s="629">
        <f t="shared" si="11"/>
        <v>2966955.1468749787</v>
      </c>
      <c r="O22" s="632">
        <f t="shared" si="12"/>
        <v>45041762.776897706</v>
      </c>
      <c r="R22" s="865"/>
    </row>
    <row r="23" spans="1:20" x14ac:dyDescent="0.2">
      <c r="A23" s="602" t="s">
        <v>162</v>
      </c>
      <c r="B23" s="603">
        <f>FGP!U24</f>
        <v>3.8052374745126212</v>
      </c>
      <c r="C23" s="629">
        <f t="shared" si="0"/>
        <v>2212641.6912946524</v>
      </c>
      <c r="D23" s="629">
        <f t="shared" si="1"/>
        <v>3866786.8360060877</v>
      </c>
      <c r="E23" s="629">
        <f t="shared" si="2"/>
        <v>1675365.6140457385</v>
      </c>
      <c r="F23" s="629">
        <f t="shared" si="3"/>
        <v>2671686.4896200369</v>
      </c>
      <c r="G23" s="629">
        <f t="shared" si="4"/>
        <v>3549706.4143565637</v>
      </c>
      <c r="H23" s="629">
        <f t="shared" si="5"/>
        <v>3314851.5435134405</v>
      </c>
      <c r="I23" s="629">
        <f t="shared" si="6"/>
        <v>1834524.5339778808</v>
      </c>
      <c r="J23" s="629">
        <f t="shared" si="7"/>
        <v>2497150.2493078094</v>
      </c>
      <c r="K23" s="629">
        <f t="shared" si="8"/>
        <v>1789762.8519679701</v>
      </c>
      <c r="L23" s="629">
        <f t="shared" si="9"/>
        <v>-148844.36080853184</v>
      </c>
      <c r="M23" s="629">
        <f t="shared" si="10"/>
        <v>1948206.8464196303</v>
      </c>
      <c r="N23" s="629">
        <f t="shared" si="11"/>
        <v>1777842.8193823597</v>
      </c>
      <c r="O23" s="632">
        <f t="shared" si="12"/>
        <v>26989681.529083632</v>
      </c>
      <c r="R23" s="865"/>
    </row>
    <row r="24" spans="1:20" x14ac:dyDescent="0.2">
      <c r="A24" s="602" t="s">
        <v>163</v>
      </c>
      <c r="B24" s="603">
        <f>FGP!U25</f>
        <v>22.033904735981441</v>
      </c>
      <c r="C24" s="629">
        <f t="shared" si="0"/>
        <v>12812113.97906029</v>
      </c>
      <c r="D24" s="629">
        <f t="shared" si="1"/>
        <v>22390301.091475978</v>
      </c>
      <c r="E24" s="629">
        <f t="shared" si="2"/>
        <v>9701062.4396184217</v>
      </c>
      <c r="F24" s="629">
        <f t="shared" si="3"/>
        <v>15470173.935527217</v>
      </c>
      <c r="G24" s="629">
        <f t="shared" si="4"/>
        <v>20554273.813003615</v>
      </c>
      <c r="H24" s="629">
        <f t="shared" si="5"/>
        <v>19194366.609944917</v>
      </c>
      <c r="I24" s="629">
        <f t="shared" si="6"/>
        <v>10622658.661445731</v>
      </c>
      <c r="J24" s="629">
        <f t="shared" si="7"/>
        <v>14459536.644747209</v>
      </c>
      <c r="K24" s="629">
        <f t="shared" si="8"/>
        <v>10363469.939628838</v>
      </c>
      <c r="L24" s="629">
        <f t="shared" si="9"/>
        <v>-861870.6423738501</v>
      </c>
      <c r="M24" s="629">
        <f t="shared" si="10"/>
        <v>11280926.446120171</v>
      </c>
      <c r="N24" s="629">
        <f t="shared" si="11"/>
        <v>10294448.002312094</v>
      </c>
      <c r="O24" s="632">
        <f t="shared" si="12"/>
        <v>156281460.92051062</v>
      </c>
      <c r="R24" s="865"/>
      <c r="T24" s="606"/>
    </row>
    <row r="25" spans="1:20" x14ac:dyDescent="0.2">
      <c r="A25" s="602" t="s">
        <v>164</v>
      </c>
      <c r="B25" s="603">
        <f>FGP!U26</f>
        <v>2.9622596926133999</v>
      </c>
      <c r="C25" s="629">
        <f t="shared" si="0"/>
        <v>1722473.1282132629</v>
      </c>
      <c r="D25" s="629">
        <f t="shared" si="1"/>
        <v>3010173.9670520909</v>
      </c>
      <c r="E25" s="629">
        <f t="shared" si="2"/>
        <v>1304220.3179484452</v>
      </c>
      <c r="F25" s="629">
        <f t="shared" si="3"/>
        <v>2079825.3072273466</v>
      </c>
      <c r="G25" s="629">
        <f t="shared" si="4"/>
        <v>2763336.6648704307</v>
      </c>
      <c r="H25" s="629">
        <f t="shared" si="5"/>
        <v>2580509.4110729224</v>
      </c>
      <c r="I25" s="629">
        <f t="shared" si="6"/>
        <v>1428120.614945088</v>
      </c>
      <c r="J25" s="629">
        <f t="shared" si="7"/>
        <v>1943954.2418759207</v>
      </c>
      <c r="K25" s="629">
        <f t="shared" si="8"/>
        <v>1393275.0298062735</v>
      </c>
      <c r="L25" s="629">
        <f t="shared" si="9"/>
        <v>-115870.73170837844</v>
      </c>
      <c r="M25" s="629">
        <f t="shared" si="10"/>
        <v>1516618.7794262441</v>
      </c>
      <c r="N25" s="629">
        <f t="shared" si="11"/>
        <v>1383995.6530789339</v>
      </c>
      <c r="O25" s="632">
        <f t="shared" si="12"/>
        <v>21010632.383808583</v>
      </c>
      <c r="R25" s="865"/>
      <c r="T25" s="606"/>
    </row>
    <row r="26" spans="1:20" ht="13.5" thickBot="1" x14ac:dyDescent="0.25">
      <c r="A26" s="602" t="s">
        <v>165</v>
      </c>
      <c r="B26" s="603">
        <f>FGP!U27</f>
        <v>4.8639447149885555</v>
      </c>
      <c r="C26" s="629">
        <f t="shared" si="0"/>
        <v>2828251.0441518221</v>
      </c>
      <c r="D26" s="629">
        <f t="shared" si="1"/>
        <v>4942618.5674228016</v>
      </c>
      <c r="E26" s="629">
        <f t="shared" si="2"/>
        <v>2141492.0300486749</v>
      </c>
      <c r="F26" s="629">
        <f t="shared" si="3"/>
        <v>3415012.9836399001</v>
      </c>
      <c r="G26" s="629">
        <f t="shared" si="4"/>
        <v>4537318.8584194668</v>
      </c>
      <c r="H26" s="629">
        <f t="shared" si="5"/>
        <v>4237121.797006621</v>
      </c>
      <c r="I26" s="629">
        <f t="shared" si="6"/>
        <v>2344932.7331933277</v>
      </c>
      <c r="J26" s="629">
        <f t="shared" si="7"/>
        <v>3191916.6251795483</v>
      </c>
      <c r="K26" s="629">
        <f t="shared" si="8"/>
        <v>2287717.2905029897</v>
      </c>
      <c r="L26" s="629">
        <f t="shared" si="9"/>
        <v>-190256.3892423652</v>
      </c>
      <c r="M26" s="629">
        <f t="shared" si="10"/>
        <v>2490244.1589564588</v>
      </c>
      <c r="N26" s="629">
        <f t="shared" si="11"/>
        <v>2272480.8223756757</v>
      </c>
      <c r="O26" s="632">
        <f t="shared" si="12"/>
        <v>34498850.521654926</v>
      </c>
      <c r="R26" s="865"/>
      <c r="T26" s="606"/>
    </row>
    <row r="27" spans="1:20" ht="13.5" thickBot="1" x14ac:dyDescent="0.25">
      <c r="A27" s="607" t="s">
        <v>288</v>
      </c>
      <c r="B27" s="646">
        <f>SUM(B7:B26)</f>
        <v>100</v>
      </c>
      <c r="C27" s="637">
        <f>SUM(C7:C26)</f>
        <v>58147269.549269065</v>
      </c>
      <c r="D27" s="637">
        <f t="shared" ref="D27:N27" si="13">SUM(D7:D26)</f>
        <v>101617490.6797729</v>
      </c>
      <c r="E27" s="637">
        <f t="shared" si="13"/>
        <v>44027885.914277166</v>
      </c>
      <c r="F27" s="637">
        <f t="shared" si="13"/>
        <v>70210768.907720506</v>
      </c>
      <c r="G27" s="637">
        <f t="shared" si="13"/>
        <v>93284753.924883842</v>
      </c>
      <c r="H27" s="637">
        <f t="shared" si="13"/>
        <v>87112869.189274713</v>
      </c>
      <c r="I27" s="637">
        <f t="shared" si="13"/>
        <v>48210513.700274348</v>
      </c>
      <c r="J27" s="637">
        <f t="shared" si="13"/>
        <v>65624031.772882909</v>
      </c>
      <c r="K27" s="637">
        <f t="shared" si="13"/>
        <v>47034195.998429894</v>
      </c>
      <c r="L27" s="637">
        <f t="shared" si="13"/>
        <v>-3911565.6198985577</v>
      </c>
      <c r="M27" s="637">
        <f t="shared" si="13"/>
        <v>51198035.851078101</v>
      </c>
      <c r="N27" s="637">
        <f t="shared" si="13"/>
        <v>46720942.682035044</v>
      </c>
      <c r="O27" s="637">
        <f>SUM(C27:N27)</f>
        <v>709277192.55000007</v>
      </c>
      <c r="T27" s="606"/>
    </row>
    <row r="28" spans="1:20" x14ac:dyDescent="0.2">
      <c r="A28" s="610"/>
      <c r="B28" s="610"/>
      <c r="C28" s="610"/>
      <c r="D28" s="610"/>
      <c r="E28" s="610"/>
      <c r="F28" s="610"/>
      <c r="G28" s="610"/>
      <c r="H28" s="610"/>
      <c r="I28" s="610"/>
      <c r="J28" s="610"/>
      <c r="K28" s="610"/>
      <c r="L28" s="610"/>
      <c r="M28" s="610"/>
      <c r="N28" s="610"/>
      <c r="O28" s="610"/>
      <c r="T28" s="606"/>
    </row>
    <row r="29" spans="1:20" ht="13.5" thickBot="1" x14ac:dyDescent="0.25">
      <c r="A29" s="611" t="s">
        <v>289</v>
      </c>
    </row>
    <row r="30" spans="1:20" ht="13.5" thickBot="1" x14ac:dyDescent="0.25">
      <c r="A30" s="647" t="s">
        <v>359</v>
      </c>
      <c r="B30" s="648"/>
      <c r="C30" s="637">
        <f>'X22.55 POE'!B13</f>
        <v>137667253.52426907</v>
      </c>
      <c r="D30" s="637">
        <f>'X22.55 POE'!C13</f>
        <v>195023594.90477291</v>
      </c>
      <c r="E30" s="637">
        <f>'X22.55 POE'!D13</f>
        <v>121639242.81427717</v>
      </c>
      <c r="F30" s="637">
        <f>'X22.55 POE'!E13</f>
        <v>155800711.98272052</v>
      </c>
      <c r="G30" s="637">
        <f>'X22.55 POE'!F13</f>
        <v>165765578.24988386</v>
      </c>
      <c r="H30" s="637">
        <f>'X22.55 POE'!G13</f>
        <v>156684496.16427472</v>
      </c>
      <c r="I30" s="637">
        <f>'X22.55 POE'!H13</f>
        <v>134937556.60027435</v>
      </c>
      <c r="J30" s="637">
        <f>'X22.55 POE'!I13</f>
        <v>140288144.7228829</v>
      </c>
      <c r="K30" s="637">
        <f>'X22.55 POE'!J13</f>
        <v>130246208.5734299</v>
      </c>
      <c r="L30" s="637">
        <f>'X22.55 POE'!K13</f>
        <v>91538801.755101442</v>
      </c>
      <c r="M30" s="637">
        <f>'X22.55 POE'!L13</f>
        <v>125838379.8010781</v>
      </c>
      <c r="N30" s="637">
        <f>'X22.55 POE'!M13</f>
        <v>130375239.55703504</v>
      </c>
      <c r="O30" s="649">
        <f>SUM(C30:N30)</f>
        <v>1685805208.6499999</v>
      </c>
    </row>
    <row r="31" spans="1:20" x14ac:dyDescent="0.2">
      <c r="A31" s="650" t="s">
        <v>360</v>
      </c>
      <c r="B31" s="651"/>
      <c r="C31" s="652">
        <f>'F.G.P. ESTIMACIONES 2014'!C27</f>
        <v>79519983.975000009</v>
      </c>
      <c r="D31" s="652">
        <f>'F.G.P. ESTIMACIONES 2014'!D27</f>
        <v>93406104.225000024</v>
      </c>
      <c r="E31" s="652">
        <f>'F.G.P. ESTIMACIONES 2014'!E27</f>
        <v>77611356.900000006</v>
      </c>
      <c r="F31" s="652">
        <f>'F.G.P. ESTIMACIONES 2014'!F27</f>
        <v>85589943.075000003</v>
      </c>
      <c r="G31" s="652">
        <f>'F.G.P. ESTIMACIONES 2014'!G27</f>
        <v>72480824.325000003</v>
      </c>
      <c r="H31" s="652">
        <f>'F.G.P. ESTIMACIONES 2014'!H27</f>
        <v>69571626.975000009</v>
      </c>
      <c r="I31" s="652">
        <f>'F.G.P. ESTIMACIONES 2014'!I27</f>
        <v>86727042.900000006</v>
      </c>
      <c r="J31" s="652">
        <f>'F.G.P. ESTIMACIONES 2014'!J27</f>
        <v>74664112.950000003</v>
      </c>
      <c r="K31" s="652">
        <f>'F.G.P. ESTIMACIONES 2014'!K27</f>
        <v>83212012.575000003</v>
      </c>
      <c r="L31" s="652">
        <f>'F.G.P. ESTIMACIONES 2014'!L27</f>
        <v>95450367.375</v>
      </c>
      <c r="M31" s="652">
        <f>'F.G.P. ESTIMACIONES 2014'!M27</f>
        <v>74640343.950000003</v>
      </c>
      <c r="N31" s="652">
        <f>'F.G.P. ESTIMACIONES 2014'!N27</f>
        <v>83654296.875</v>
      </c>
      <c r="O31" s="653">
        <f>SUM(C31:N31)</f>
        <v>976528016.10000026</v>
      </c>
    </row>
    <row r="32" spans="1:20" ht="13.5" thickBot="1" x14ac:dyDescent="0.25">
      <c r="A32" s="654" t="s">
        <v>345</v>
      </c>
      <c r="B32" s="655"/>
      <c r="C32" s="656">
        <f>C30-C31</f>
        <v>58147269.549269065</v>
      </c>
      <c r="D32" s="656">
        <f t="shared" ref="D32:N32" si="14">D30-D31</f>
        <v>101617490.67977288</v>
      </c>
      <c r="E32" s="656">
        <f t="shared" si="14"/>
        <v>44027885.914277166</v>
      </c>
      <c r="F32" s="656">
        <f t="shared" si="14"/>
        <v>70210768.907720521</v>
      </c>
      <c r="G32" s="656">
        <f t="shared" si="14"/>
        <v>93284753.924883857</v>
      </c>
      <c r="H32" s="656">
        <f t="shared" si="14"/>
        <v>87112869.189274713</v>
      </c>
      <c r="I32" s="656">
        <f t="shared" si="14"/>
        <v>48210513.700274348</v>
      </c>
      <c r="J32" s="656">
        <f t="shared" si="14"/>
        <v>65624031.772882894</v>
      </c>
      <c r="K32" s="656">
        <f t="shared" si="14"/>
        <v>47034195.998429894</v>
      </c>
      <c r="L32" s="656">
        <f t="shared" si="14"/>
        <v>-3911565.6198985577</v>
      </c>
      <c r="M32" s="656">
        <f t="shared" si="14"/>
        <v>51198035.851078093</v>
      </c>
      <c r="N32" s="656">
        <f t="shared" si="14"/>
        <v>46720942.682035044</v>
      </c>
      <c r="O32" s="657">
        <f>O30-O31</f>
        <v>709277192.54999959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I65"/>
  <sheetViews>
    <sheetView zoomScale="80" zoomScaleNormal="80" workbookViewId="0">
      <selection activeCell="B1" sqref="B1:Q1"/>
    </sheetView>
  </sheetViews>
  <sheetFormatPr baseColWidth="10" defaultRowHeight="15" x14ac:dyDescent="0.25"/>
  <cols>
    <col min="1" max="1" width="3.7109375" customWidth="1"/>
    <col min="2" max="2" width="3.5703125" style="84" customWidth="1"/>
    <col min="3" max="3" width="26.42578125" customWidth="1"/>
    <col min="4" max="4" width="15.42578125" style="24" customWidth="1"/>
    <col min="5" max="5" width="13.85546875" customWidth="1"/>
    <col min="6" max="6" width="16.5703125" bestFit="1" customWidth="1"/>
    <col min="7" max="7" width="15.28515625" bestFit="1" customWidth="1"/>
    <col min="8" max="8" width="16.5703125" style="5" bestFit="1" customWidth="1"/>
    <col min="9" max="9" width="16.5703125" customWidth="1"/>
    <col min="10" max="10" width="16.140625" customWidth="1"/>
    <col min="11" max="12" width="18.140625" style="5" customWidth="1"/>
    <col min="13" max="13" width="15.5703125" customWidth="1"/>
    <col min="14" max="14" width="13" bestFit="1" customWidth="1"/>
    <col min="15" max="15" width="18.140625" style="5"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5" width="11.42578125" hidden="1" customWidth="1"/>
    <col min="36" max="40" width="0" hidden="1" customWidth="1"/>
  </cols>
  <sheetData>
    <row r="1" spans="2:34" x14ac:dyDescent="0.25">
      <c r="B1" s="1048" t="s">
        <v>436</v>
      </c>
      <c r="C1" s="1048"/>
      <c r="D1" s="1048"/>
      <c r="E1" s="1048"/>
      <c r="F1" s="1048"/>
      <c r="G1" s="1048"/>
      <c r="H1" s="1048"/>
      <c r="I1" s="1048"/>
      <c r="J1" s="1048"/>
      <c r="K1" s="1048"/>
      <c r="L1" s="1048"/>
      <c r="M1" s="1048"/>
      <c r="N1" s="1048"/>
      <c r="O1" s="1048"/>
      <c r="P1" s="1048"/>
      <c r="Q1" s="1048"/>
    </row>
    <row r="2" spans="2:34" ht="15.75" thickBot="1" x14ac:dyDescent="0.3">
      <c r="C2" s="330"/>
      <c r="D2" s="330"/>
      <c r="E2" s="330"/>
      <c r="F2" s="330"/>
      <c r="G2" s="330"/>
      <c r="H2" s="330"/>
      <c r="I2" s="330"/>
      <c r="J2" s="330"/>
      <c r="K2" s="330"/>
      <c r="L2" s="330"/>
      <c r="M2" s="330"/>
      <c r="N2" s="330"/>
      <c r="O2" s="330"/>
      <c r="P2" s="330"/>
    </row>
    <row r="3" spans="2:34" ht="15" customHeight="1" x14ac:dyDescent="0.25">
      <c r="B3" s="1049" t="s">
        <v>81</v>
      </c>
      <c r="C3" s="1069" t="s">
        <v>83</v>
      </c>
      <c r="D3" s="1072">
        <v>2014</v>
      </c>
      <c r="E3" s="1073"/>
      <c r="F3" s="1072" t="s">
        <v>139</v>
      </c>
      <c r="G3" s="1074"/>
      <c r="H3" s="1073"/>
      <c r="I3" s="1072" t="s">
        <v>140</v>
      </c>
      <c r="J3" s="1074"/>
      <c r="K3" s="1074"/>
      <c r="L3" s="1073"/>
      <c r="M3" s="1072" t="s">
        <v>29</v>
      </c>
      <c r="N3" s="1074"/>
      <c r="O3" s="1073"/>
      <c r="P3" s="87"/>
      <c r="Q3" s="1052" t="s">
        <v>437</v>
      </c>
    </row>
    <row r="4" spans="2:34" ht="15" customHeight="1" x14ac:dyDescent="0.25">
      <c r="B4" s="1050"/>
      <c r="C4" s="1070"/>
      <c r="D4" s="1075" t="s">
        <v>292</v>
      </c>
      <c r="E4" s="1078" t="s">
        <v>293</v>
      </c>
      <c r="F4" s="433" t="s">
        <v>38</v>
      </c>
      <c r="G4" s="119" t="s">
        <v>144</v>
      </c>
      <c r="H4" s="438" t="s">
        <v>89</v>
      </c>
      <c r="I4" s="1062" t="s">
        <v>86</v>
      </c>
      <c r="J4" s="1063"/>
      <c r="K4" s="440" t="s">
        <v>208</v>
      </c>
      <c r="L4" s="1059" t="s">
        <v>428</v>
      </c>
      <c r="M4" s="1062" t="s">
        <v>261</v>
      </c>
      <c r="N4" s="1063"/>
      <c r="O4" s="443" t="s">
        <v>87</v>
      </c>
      <c r="P4" s="88" t="s">
        <v>88</v>
      </c>
      <c r="Q4" s="1053"/>
    </row>
    <row r="5" spans="2:34" x14ac:dyDescent="0.25">
      <c r="B5" s="1050"/>
      <c r="C5" s="1070"/>
      <c r="D5" s="1076"/>
      <c r="E5" s="1079"/>
      <c r="F5" s="433" t="s">
        <v>90</v>
      </c>
      <c r="G5" s="119"/>
      <c r="H5" s="434" t="s">
        <v>206</v>
      </c>
      <c r="I5" s="1055">
        <v>2021</v>
      </c>
      <c r="J5" s="1056"/>
      <c r="K5" s="363" t="s">
        <v>207</v>
      </c>
      <c r="L5" s="1060"/>
      <c r="M5" s="1057">
        <v>2021</v>
      </c>
      <c r="N5" s="1058"/>
      <c r="O5" s="427" t="s">
        <v>262</v>
      </c>
      <c r="P5" s="89" t="s">
        <v>92</v>
      </c>
      <c r="Q5" s="1053"/>
    </row>
    <row r="6" spans="2:34" x14ac:dyDescent="0.25">
      <c r="B6" s="1050"/>
      <c r="C6" s="1070"/>
      <c r="D6" s="1077"/>
      <c r="E6" s="1080"/>
      <c r="F6" s="435" t="s">
        <v>205</v>
      </c>
      <c r="G6" s="436" t="s">
        <v>91</v>
      </c>
      <c r="H6" s="437" t="s">
        <v>93</v>
      </c>
      <c r="I6" s="435" t="s">
        <v>94</v>
      </c>
      <c r="J6" s="439" t="s">
        <v>85</v>
      </c>
      <c r="K6" s="441" t="s">
        <v>93</v>
      </c>
      <c r="L6" s="1061"/>
      <c r="M6" s="444" t="s">
        <v>94</v>
      </c>
      <c r="N6" s="261" t="s">
        <v>85</v>
      </c>
      <c r="O6" s="445" t="s">
        <v>95</v>
      </c>
      <c r="P6" s="91" t="s">
        <v>96</v>
      </c>
      <c r="Q6" s="1054"/>
    </row>
    <row r="7" spans="2:34" ht="15.75" thickBot="1" x14ac:dyDescent="0.3">
      <c r="B7" s="1051"/>
      <c r="C7" s="1071"/>
      <c r="D7" s="92" t="s">
        <v>70</v>
      </c>
      <c r="E7" s="90" t="s">
        <v>97</v>
      </c>
      <c r="F7" s="93" t="s">
        <v>71</v>
      </c>
      <c r="G7" s="94" t="s">
        <v>98</v>
      </c>
      <c r="H7" s="95" t="s">
        <v>99</v>
      </c>
      <c r="I7" s="431" t="s">
        <v>100</v>
      </c>
      <c r="J7" s="432" t="s">
        <v>74</v>
      </c>
      <c r="K7" s="442" t="s">
        <v>101</v>
      </c>
      <c r="L7" s="426" t="s">
        <v>76</v>
      </c>
      <c r="M7" s="431" t="s">
        <v>102</v>
      </c>
      <c r="N7" s="14" t="s">
        <v>78</v>
      </c>
      <c r="O7" s="426" t="s">
        <v>103</v>
      </c>
      <c r="P7" s="96" t="s">
        <v>104</v>
      </c>
      <c r="Q7" s="97" t="s">
        <v>105</v>
      </c>
      <c r="S7" t="s">
        <v>106</v>
      </c>
      <c r="T7" t="s">
        <v>107</v>
      </c>
      <c r="U7" t="s">
        <v>108</v>
      </c>
      <c r="V7" t="s">
        <v>106</v>
      </c>
      <c r="W7" t="s">
        <v>107</v>
      </c>
      <c r="X7" t="s">
        <v>108</v>
      </c>
      <c r="Y7" s="85" t="s">
        <v>109</v>
      </c>
      <c r="Z7" s="85" t="s">
        <v>110</v>
      </c>
      <c r="AA7" s="85" t="s">
        <v>111</v>
      </c>
      <c r="AB7" s="85" t="s">
        <v>110</v>
      </c>
    </row>
    <row r="8" spans="2:34" ht="25.5" customHeight="1" x14ac:dyDescent="0.25">
      <c r="B8" s="458" t="s">
        <v>112</v>
      </c>
      <c r="C8" s="98" t="s">
        <v>45</v>
      </c>
      <c r="D8" s="99">
        <v>3.62</v>
      </c>
      <c r="E8" s="419">
        <v>15655542.292800002</v>
      </c>
      <c r="F8" s="409">
        <f>'CENSO 2020'!C10</f>
        <v>37232</v>
      </c>
      <c r="G8" s="446">
        <f t="shared" ref="G8:G28" si="0">F8/F$28*100</f>
        <v>3.0136241193535018</v>
      </c>
      <c r="H8" s="452">
        <f>((Datos!K$24*0.7)*0.5)*G8%</f>
        <v>1816251.5884836044</v>
      </c>
      <c r="I8" s="409">
        <f>'Predial y Agua'!G9</f>
        <v>12154053.73</v>
      </c>
      <c r="J8" s="446">
        <f>I8/I$28*100</f>
        <v>1.5176512594746976</v>
      </c>
      <c r="K8" s="410">
        <f>((Datos!K$24*0.7)*(0.5))*FFM!J8%</f>
        <v>914658.36534928821</v>
      </c>
      <c r="L8" s="411">
        <f>H8+K8</f>
        <v>2730909.9538328927</v>
      </c>
      <c r="M8" s="409">
        <v>0</v>
      </c>
      <c r="N8" s="446">
        <v>0</v>
      </c>
      <c r="O8" s="447">
        <v>0</v>
      </c>
      <c r="P8" s="102">
        <f>H8+K8+O8</f>
        <v>2730909.9538328927</v>
      </c>
      <c r="Q8" s="100">
        <f>E8+L8+O8</f>
        <v>18386452.246632896</v>
      </c>
      <c r="R8" s="103">
        <f t="shared" ref="R8:R27" si="1">G8+J8</f>
        <v>4.5312753788281999</v>
      </c>
      <c r="S8" s="103">
        <f>R8/2</f>
        <v>2.2656376894140999</v>
      </c>
      <c r="T8" s="103">
        <f>2.480738</f>
        <v>2.4807380000000001</v>
      </c>
      <c r="U8" s="104">
        <f>S8-T8</f>
        <v>-0.21510031058590018</v>
      </c>
      <c r="V8" s="103">
        <f>N8</f>
        <v>0</v>
      </c>
      <c r="X8" s="103">
        <f>V8-W8</f>
        <v>0</v>
      </c>
      <c r="Y8" s="85">
        <v>3.3898570000000001</v>
      </c>
      <c r="Z8" s="105">
        <f>S8-Y8</f>
        <v>-1.1242193105859002</v>
      </c>
      <c r="AA8" s="85"/>
      <c r="AB8" s="85"/>
      <c r="AG8" s="103">
        <f>G8+J8</f>
        <v>4.5312753788281999</v>
      </c>
      <c r="AH8" s="103">
        <f>AG8/2</f>
        <v>2.2656376894140999</v>
      </c>
    </row>
    <row r="9" spans="2:34" ht="25.5" customHeight="1" x14ac:dyDescent="0.25">
      <c r="B9" s="454" t="s">
        <v>112</v>
      </c>
      <c r="C9" s="98" t="s">
        <v>46</v>
      </c>
      <c r="D9" s="99">
        <v>2.4700000000000002</v>
      </c>
      <c r="E9" s="407">
        <v>10682096.536800001</v>
      </c>
      <c r="F9" s="414">
        <f>'CENSO 2020'!C11</f>
        <v>15393</v>
      </c>
      <c r="G9" s="386">
        <f t="shared" si="0"/>
        <v>1.2459367229589724</v>
      </c>
      <c r="H9" s="101">
        <f>((Datos!K$24*0.7)*0.5)*G9%</f>
        <v>750901.39400322642</v>
      </c>
      <c r="I9" s="414">
        <f>'Predial y Agua'!G10</f>
        <v>6882965.5</v>
      </c>
      <c r="J9" s="386">
        <f t="shared" ref="J9:J27" si="2">I9/I$28*100</f>
        <v>0.85946150083342532</v>
      </c>
      <c r="K9" s="152">
        <f>((Datos!K$24*0.7)*(0.5))*FFM!J9%</f>
        <v>517980.42964431969</v>
      </c>
      <c r="L9" s="415">
        <f t="shared" ref="L9:L27" si="3">H9+K9</f>
        <v>1268881.8236475461</v>
      </c>
      <c r="M9" s="414">
        <v>0</v>
      </c>
      <c r="N9" s="386">
        <v>0</v>
      </c>
      <c r="O9" s="448">
        <v>0</v>
      </c>
      <c r="P9" s="102">
        <f t="shared" ref="P9:P27" si="4">H9+K9+O9</f>
        <v>1268881.8236475461</v>
      </c>
      <c r="Q9" s="100">
        <f t="shared" ref="Q9:Q27" si="5">E9+L9+O9</f>
        <v>11950978.360447546</v>
      </c>
      <c r="R9" s="103">
        <f t="shared" si="1"/>
        <v>2.1053982237923976</v>
      </c>
      <c r="S9" s="103">
        <f t="shared" ref="S9:S28" si="6">R9/2</f>
        <v>1.0526991118961988</v>
      </c>
      <c r="T9" s="103">
        <v>1.0658129999999999</v>
      </c>
      <c r="U9" s="104">
        <f t="shared" ref="U9:U27" si="7">S9-T9</f>
        <v>-1.3113888103801097E-2</v>
      </c>
      <c r="V9" s="103">
        <f t="shared" ref="V9:V27" si="8">N9</f>
        <v>0</v>
      </c>
      <c r="X9" s="103">
        <f t="shared" ref="X9:X27" si="9">V9-W9</f>
        <v>0</v>
      </c>
      <c r="Y9" s="85">
        <v>1.4561059999999999</v>
      </c>
      <c r="Z9" s="105">
        <f t="shared" ref="Z9:Z27" si="10">S9-Y9</f>
        <v>-0.4034068881038011</v>
      </c>
      <c r="AA9" s="85"/>
      <c r="AB9" s="85"/>
      <c r="AG9" s="103">
        <f t="shared" ref="AG9:AG28" si="11">G9+J9</f>
        <v>2.1053982237923976</v>
      </c>
      <c r="AH9" s="103">
        <f t="shared" ref="AH9:AH28" si="12">AG9/2</f>
        <v>1.0526991118961988</v>
      </c>
    </row>
    <row r="10" spans="2:34" ht="25.5" customHeight="1" x14ac:dyDescent="0.25">
      <c r="B10" s="454" t="s">
        <v>112</v>
      </c>
      <c r="C10" s="98" t="s">
        <v>47</v>
      </c>
      <c r="D10" s="99">
        <v>2.33</v>
      </c>
      <c r="E10" s="407">
        <v>10076633.575200001</v>
      </c>
      <c r="F10" s="414">
        <f>'CENSO 2020'!C12</f>
        <v>11536</v>
      </c>
      <c r="G10" s="386">
        <f t="shared" si="0"/>
        <v>0.93374430169912959</v>
      </c>
      <c r="H10" s="101">
        <f>((Datos!K$24*0.7)*0.5)*G10%</f>
        <v>562749.20296376396</v>
      </c>
      <c r="I10" s="414">
        <f>'Predial y Agua'!G11</f>
        <v>3352527.58</v>
      </c>
      <c r="J10" s="386">
        <f t="shared" si="2"/>
        <v>0.41862310445871798</v>
      </c>
      <c r="K10" s="152">
        <f>((Datos!K$24*0.7)*(0.5))*FFM!J10%</f>
        <v>252295.85652911259</v>
      </c>
      <c r="L10" s="415">
        <f t="shared" si="3"/>
        <v>815045.05949287652</v>
      </c>
      <c r="M10" s="414">
        <v>0</v>
      </c>
      <c r="N10" s="386">
        <v>0</v>
      </c>
      <c r="O10" s="448">
        <v>0</v>
      </c>
      <c r="P10" s="102">
        <f t="shared" si="4"/>
        <v>815045.05949287652</v>
      </c>
      <c r="Q10" s="100">
        <f t="shared" si="5"/>
        <v>10891678.634692878</v>
      </c>
      <c r="R10" s="103">
        <f t="shared" si="1"/>
        <v>1.3523674061578475</v>
      </c>
      <c r="S10" s="103">
        <f t="shared" si="6"/>
        <v>0.67618370307892373</v>
      </c>
      <c r="T10" s="103">
        <v>0.85747200000000001</v>
      </c>
      <c r="U10" s="104">
        <f t="shared" si="7"/>
        <v>-0.18128829692107629</v>
      </c>
      <c r="V10" s="103">
        <f t="shared" si="8"/>
        <v>0</v>
      </c>
      <c r="X10" s="103">
        <f t="shared" si="9"/>
        <v>0</v>
      </c>
      <c r="Y10" s="85">
        <v>1.167629</v>
      </c>
      <c r="Z10" s="105">
        <f t="shared" si="10"/>
        <v>-0.4914452969210763</v>
      </c>
      <c r="AA10" s="85"/>
      <c r="AB10" s="85"/>
      <c r="AG10" s="103">
        <f t="shared" si="11"/>
        <v>1.3523674061578475</v>
      </c>
      <c r="AH10" s="103">
        <f t="shared" si="12"/>
        <v>0.67618370307892373</v>
      </c>
    </row>
    <row r="11" spans="2:34" ht="25.5" customHeight="1" x14ac:dyDescent="0.25">
      <c r="B11" s="454" t="s">
        <v>112</v>
      </c>
      <c r="C11" s="98" t="s">
        <v>48</v>
      </c>
      <c r="D11" s="99">
        <v>2.81</v>
      </c>
      <c r="E11" s="407">
        <v>12152506.5864</v>
      </c>
      <c r="F11" s="414">
        <f>'CENSO 2020'!C13</f>
        <v>187632</v>
      </c>
      <c r="G11" s="386">
        <f t="shared" si="0"/>
        <v>15.187266887691669</v>
      </c>
      <c r="H11" s="101">
        <f>((Datos!K$24*0.7)*0.5)*G11%</f>
        <v>9153065.0529210251</v>
      </c>
      <c r="I11" s="414">
        <f>'Predial y Agua'!G12</f>
        <v>336468251.90999997</v>
      </c>
      <c r="J11" s="386">
        <f t="shared" si="2"/>
        <v>42.014086627249206</v>
      </c>
      <c r="K11" s="152">
        <f>((Datos!K$24*0.7)*(0.5))*FFM!J11%</f>
        <v>25321058.152334921</v>
      </c>
      <c r="L11" s="415">
        <f t="shared" si="3"/>
        <v>34474123.205255948</v>
      </c>
      <c r="M11" s="414">
        <v>0</v>
      </c>
      <c r="N11" s="386">
        <v>0</v>
      </c>
      <c r="O11" s="448">
        <v>0</v>
      </c>
      <c r="P11" s="102">
        <f t="shared" si="4"/>
        <v>34474123.205255948</v>
      </c>
      <c r="Q11" s="100">
        <f t="shared" si="5"/>
        <v>46626629.79165595</v>
      </c>
      <c r="R11" s="103">
        <f t="shared" si="1"/>
        <v>57.201353514940877</v>
      </c>
      <c r="S11" s="103">
        <f t="shared" si="6"/>
        <v>28.600676757470438</v>
      </c>
      <c r="T11" s="103">
        <v>26.514603000000001</v>
      </c>
      <c r="U11" s="104">
        <f t="shared" si="7"/>
        <v>2.0860737574704373</v>
      </c>
      <c r="V11" s="103">
        <f t="shared" si="8"/>
        <v>0</v>
      </c>
      <c r="X11" s="103">
        <f t="shared" si="9"/>
        <v>0</v>
      </c>
      <c r="Y11" s="85">
        <v>39.874909000000002</v>
      </c>
      <c r="Z11" s="105">
        <f t="shared" si="10"/>
        <v>-11.274232242529564</v>
      </c>
      <c r="AA11" s="85"/>
      <c r="AB11" s="85"/>
      <c r="AG11" s="103">
        <f t="shared" si="11"/>
        <v>57.201353514940877</v>
      </c>
      <c r="AH11" s="103">
        <f t="shared" si="12"/>
        <v>28.600676757470438</v>
      </c>
    </row>
    <row r="12" spans="2:34" ht="25.5" customHeight="1" x14ac:dyDescent="0.25">
      <c r="B12" s="454" t="s">
        <v>112</v>
      </c>
      <c r="C12" s="98" t="s">
        <v>49</v>
      </c>
      <c r="D12" s="99">
        <v>4.6399999999999997</v>
      </c>
      <c r="E12" s="407">
        <v>20066772.441599999</v>
      </c>
      <c r="F12" s="414">
        <f>'CENSO 2020'!C14</f>
        <v>77436</v>
      </c>
      <c r="G12" s="386">
        <f t="shared" si="0"/>
        <v>6.2678071902196431</v>
      </c>
      <c r="H12" s="101">
        <f>((Datos!K$24*0.7)*0.5)*G12%</f>
        <v>3777483.294096916</v>
      </c>
      <c r="I12" s="414">
        <f>'Predial y Agua'!G13</f>
        <v>59487059.099999994</v>
      </c>
      <c r="J12" s="386">
        <f t="shared" si="2"/>
        <v>7.4280246057099468</v>
      </c>
      <c r="K12" s="152">
        <f>((Datos!K$24*0.7)*(0.5))*FFM!J12%</f>
        <v>4476723.3586882045</v>
      </c>
      <c r="L12" s="415">
        <f t="shared" si="3"/>
        <v>8254206.6527851205</v>
      </c>
      <c r="M12" s="414">
        <v>0</v>
      </c>
      <c r="N12" s="386">
        <v>0</v>
      </c>
      <c r="O12" s="448">
        <v>0</v>
      </c>
      <c r="P12" s="102">
        <f t="shared" si="4"/>
        <v>8254206.6527851205</v>
      </c>
      <c r="Q12" s="100">
        <f t="shared" si="5"/>
        <v>28320979.094385117</v>
      </c>
      <c r="R12" s="103">
        <f t="shared" si="1"/>
        <v>13.695831795929589</v>
      </c>
      <c r="S12" s="103">
        <f t="shared" si="6"/>
        <v>6.8479158979647945</v>
      </c>
      <c r="T12" s="103">
        <v>5.371861</v>
      </c>
      <c r="U12" s="104">
        <f t="shared" si="7"/>
        <v>1.4760548979647945</v>
      </c>
      <c r="V12" s="103">
        <f t="shared" si="8"/>
        <v>0</v>
      </c>
      <c r="X12" s="103">
        <f t="shared" si="9"/>
        <v>0</v>
      </c>
      <c r="Y12" s="85">
        <v>7.3199050000000003</v>
      </c>
      <c r="Z12" s="105">
        <f t="shared" si="10"/>
        <v>-0.47198910203520583</v>
      </c>
      <c r="AA12" s="85"/>
      <c r="AB12" s="85"/>
      <c r="AG12" s="103">
        <f t="shared" si="11"/>
        <v>13.695831795929589</v>
      </c>
      <c r="AH12" s="103">
        <f t="shared" si="12"/>
        <v>6.8479158979647945</v>
      </c>
    </row>
    <row r="13" spans="2:34" s="5" customFormat="1" ht="25.5" customHeight="1" x14ac:dyDescent="0.25">
      <c r="B13" s="455" t="s">
        <v>113</v>
      </c>
      <c r="C13" s="106" t="s">
        <v>50</v>
      </c>
      <c r="D13" s="107">
        <v>1.5</v>
      </c>
      <c r="E13" s="430">
        <v>6487103.1600000001</v>
      </c>
      <c r="F13" s="414">
        <f>'CENSO 2020'!C15</f>
        <v>47550</v>
      </c>
      <c r="G13" s="450">
        <f t="shared" si="0"/>
        <v>3.8487813406547868</v>
      </c>
      <c r="H13" s="101">
        <f>((Datos!K$24*0.7)*0.5)*G13%</f>
        <v>2319584.3100664858</v>
      </c>
      <c r="I13" s="414">
        <f>'Predial y Agua'!G14</f>
        <v>171868.4</v>
      </c>
      <c r="J13" s="450">
        <f t="shared" si="2"/>
        <v>2.1460847509672899E-2</v>
      </c>
      <c r="K13" s="152">
        <f>((Datos!K$24*0.7)*(0.5))*FFM!J13%</f>
        <v>12934.027880029587</v>
      </c>
      <c r="L13" s="430">
        <f t="shared" si="3"/>
        <v>2332518.3379465155</v>
      </c>
      <c r="M13" s="449">
        <f>'FGP 30%'!I41</f>
        <v>38491.81</v>
      </c>
      <c r="N13" s="450">
        <f>M13/M$28*100</f>
        <v>0.44395223975783266</v>
      </c>
      <c r="O13" s="430">
        <f>(Datos!K24-FFM!H28-FFM!K$28)*FFM!N13%</f>
        <v>229338.1927454354</v>
      </c>
      <c r="P13" s="108">
        <f t="shared" si="4"/>
        <v>2561856.530691951</v>
      </c>
      <c r="Q13" s="109">
        <f t="shared" si="5"/>
        <v>9048959.6906919517</v>
      </c>
      <c r="R13" s="74">
        <f t="shared" si="1"/>
        <v>3.8702421881644598</v>
      </c>
      <c r="S13" s="74">
        <f t="shared" si="6"/>
        <v>1.9351210940822299</v>
      </c>
      <c r="T13" s="74">
        <v>1.826878</v>
      </c>
      <c r="U13" s="110">
        <f t="shared" si="7"/>
        <v>0.10824309408222987</v>
      </c>
      <c r="V13" s="74">
        <f t="shared" si="8"/>
        <v>0.44395223975783266</v>
      </c>
      <c r="W13" s="5">
        <v>0.35585699999999998</v>
      </c>
      <c r="X13" s="74">
        <f t="shared" si="9"/>
        <v>8.8095239757832677E-2</v>
      </c>
      <c r="Y13" s="111">
        <v>2.5551330000000001</v>
      </c>
      <c r="Z13" s="112">
        <f t="shared" si="10"/>
        <v>-0.62001190591777022</v>
      </c>
      <c r="AA13" s="111">
        <v>16.147120999999999</v>
      </c>
      <c r="AB13" s="111">
        <f>W13-AA13</f>
        <v>-15.791263999999998</v>
      </c>
      <c r="AG13" s="103">
        <f t="shared" si="11"/>
        <v>3.8702421881644598</v>
      </c>
      <c r="AH13" s="103">
        <f t="shared" si="12"/>
        <v>1.9351210940822299</v>
      </c>
    </row>
    <row r="14" spans="2:34" s="5" customFormat="1" ht="25.5" customHeight="1" x14ac:dyDescent="0.25">
      <c r="B14" s="455" t="s">
        <v>113</v>
      </c>
      <c r="C14" s="106" t="s">
        <v>51</v>
      </c>
      <c r="D14" s="107">
        <v>1.53</v>
      </c>
      <c r="E14" s="430">
        <v>6616845.2232000008</v>
      </c>
      <c r="F14" s="414">
        <f>'CENSO 2020'!C16</f>
        <v>12230</v>
      </c>
      <c r="G14" s="450">
        <f t="shared" si="0"/>
        <v>0.98991789266473262</v>
      </c>
      <c r="H14" s="101">
        <f>((Datos!K$24*0.7)*0.5)*G14%</f>
        <v>596603.91402971849</v>
      </c>
      <c r="I14" s="414">
        <f>'Predial y Agua'!G15</f>
        <v>148220.89000000001</v>
      </c>
      <c r="J14" s="450">
        <f t="shared" si="2"/>
        <v>1.8508032413393046E-2</v>
      </c>
      <c r="K14" s="152">
        <f>((Datos!K$24*0.7)*(0.5))*FFM!J14%</f>
        <v>11154.424685764219</v>
      </c>
      <c r="L14" s="430">
        <f t="shared" si="3"/>
        <v>607758.33871548274</v>
      </c>
      <c r="M14" s="449">
        <f>'FGP 30%'!I42</f>
        <v>13226.89</v>
      </c>
      <c r="N14" s="450">
        <f>M14/M$28*100</f>
        <v>0.15255472373293125</v>
      </c>
      <c r="O14" s="430">
        <f>(Datos!K24-FFM!H28-FFM!K$28)*FFM!N14%</f>
        <v>78807.181274215807</v>
      </c>
      <c r="P14" s="108">
        <f t="shared" si="4"/>
        <v>686565.51998969854</v>
      </c>
      <c r="Q14" s="109">
        <f t="shared" si="5"/>
        <v>7303410.743189699</v>
      </c>
      <c r="R14" s="74">
        <f t="shared" si="1"/>
        <v>1.0084259250781256</v>
      </c>
      <c r="S14" s="74">
        <f t="shared" si="6"/>
        <v>0.50421296253906278</v>
      </c>
      <c r="T14" s="74">
        <v>0.53989200000000004</v>
      </c>
      <c r="U14" s="110">
        <f t="shared" si="7"/>
        <v>-3.5679037460937257E-2</v>
      </c>
      <c r="V14" s="74">
        <f t="shared" si="8"/>
        <v>0.15255472373293125</v>
      </c>
      <c r="W14" s="5">
        <v>0.19699800000000001</v>
      </c>
      <c r="X14" s="74">
        <f t="shared" si="9"/>
        <v>-4.444327626706876E-2</v>
      </c>
      <c r="Y14" s="111">
        <v>0.75530600000000003</v>
      </c>
      <c r="Z14" s="112">
        <f t="shared" si="10"/>
        <v>-0.25109303746093725</v>
      </c>
      <c r="AA14" s="111">
        <v>4.7731430000000001</v>
      </c>
      <c r="AB14" s="111">
        <f t="shared" ref="AB14:AB26" si="13">W14-AA14</f>
        <v>-4.5761450000000004</v>
      </c>
      <c r="AG14" s="103">
        <f t="shared" si="11"/>
        <v>1.0084259250781256</v>
      </c>
      <c r="AH14" s="103">
        <f t="shared" si="12"/>
        <v>0.50421296253906278</v>
      </c>
    </row>
    <row r="15" spans="2:34" s="5" customFormat="1" ht="25.5" customHeight="1" x14ac:dyDescent="0.25">
      <c r="B15" s="456" t="s">
        <v>112</v>
      </c>
      <c r="C15" s="98" t="s">
        <v>52</v>
      </c>
      <c r="D15" s="113">
        <v>3.16</v>
      </c>
      <c r="E15" s="415">
        <v>13666163.990400001</v>
      </c>
      <c r="F15" s="414">
        <f>'CENSO 2020'!C17</f>
        <v>29299</v>
      </c>
      <c r="G15" s="386">
        <f t="shared" si="0"/>
        <v>2.3715130283878989</v>
      </c>
      <c r="H15" s="101">
        <f>((Datos!K$24*0.7)*0.5)*G15%</f>
        <v>1429263.9474371811</v>
      </c>
      <c r="I15" s="414">
        <f>'Predial y Agua'!G16</f>
        <v>13225625.039999999</v>
      </c>
      <c r="J15" s="386">
        <f t="shared" si="2"/>
        <v>1.6514561269177552</v>
      </c>
      <c r="K15" s="152">
        <f>((Datos!K$24*0.7)*(0.5))*FFM!J15%</f>
        <v>995299.90968774608</v>
      </c>
      <c r="L15" s="415">
        <f t="shared" si="3"/>
        <v>2424563.8571249275</v>
      </c>
      <c r="M15" s="414">
        <v>0</v>
      </c>
      <c r="N15" s="386">
        <v>0</v>
      </c>
      <c r="O15" s="430">
        <v>0</v>
      </c>
      <c r="P15" s="114">
        <f t="shared" si="4"/>
        <v>2424563.8571249275</v>
      </c>
      <c r="Q15" s="100">
        <f t="shared" si="5"/>
        <v>16090727.84752493</v>
      </c>
      <c r="R15" s="74">
        <f t="shared" si="1"/>
        <v>4.0229691553056544</v>
      </c>
      <c r="S15" s="74">
        <f t="shared" si="6"/>
        <v>2.0114845776528272</v>
      </c>
      <c r="T15" s="74">
        <v>2.598125</v>
      </c>
      <c r="U15" s="110">
        <f t="shared" si="7"/>
        <v>-0.58664042234717284</v>
      </c>
      <c r="V15" s="74">
        <f t="shared" si="8"/>
        <v>0</v>
      </c>
      <c r="X15" s="74">
        <f t="shared" si="9"/>
        <v>0</v>
      </c>
      <c r="Y15" s="111">
        <v>3.512527</v>
      </c>
      <c r="Z15" s="112">
        <f t="shared" si="10"/>
        <v>-1.5010424223471728</v>
      </c>
      <c r="AA15" s="111"/>
      <c r="AB15" s="111">
        <f t="shared" si="13"/>
        <v>0</v>
      </c>
      <c r="AG15" s="103">
        <f t="shared" si="11"/>
        <v>4.0229691553056544</v>
      </c>
      <c r="AH15" s="103">
        <f t="shared" si="12"/>
        <v>2.0114845776528272</v>
      </c>
    </row>
    <row r="16" spans="2:34" s="5" customFormat="1" ht="25.5" customHeight="1" x14ac:dyDescent="0.25">
      <c r="B16" s="456" t="s">
        <v>112</v>
      </c>
      <c r="C16" s="98" t="s">
        <v>53</v>
      </c>
      <c r="D16" s="113">
        <v>2.81</v>
      </c>
      <c r="E16" s="415">
        <v>12152506.5864</v>
      </c>
      <c r="F16" s="414">
        <f>'CENSO 2020'!C18</f>
        <v>19321</v>
      </c>
      <c r="G16" s="386">
        <f t="shared" si="0"/>
        <v>1.563876010153336</v>
      </c>
      <c r="H16" s="101">
        <f>((Datos!K$24*0.7)*0.5)*G16%</f>
        <v>942517.1073563525</v>
      </c>
      <c r="I16" s="414">
        <f>'Predial y Agua'!G17</f>
        <v>5088832.29</v>
      </c>
      <c r="J16" s="386">
        <f t="shared" si="2"/>
        <v>0.63543184074553283</v>
      </c>
      <c r="K16" s="152">
        <f>((Datos!K$24*0.7)*(0.5))*FFM!J16%</f>
        <v>382962.18918460177</v>
      </c>
      <c r="L16" s="415">
        <f t="shared" si="3"/>
        <v>1325479.2965409542</v>
      </c>
      <c r="M16" s="414">
        <v>0</v>
      </c>
      <c r="N16" s="386">
        <v>0</v>
      </c>
      <c r="O16" s="430">
        <v>0</v>
      </c>
      <c r="P16" s="114">
        <f t="shared" si="4"/>
        <v>1325479.2965409542</v>
      </c>
      <c r="Q16" s="100">
        <f t="shared" si="5"/>
        <v>13477985.882940955</v>
      </c>
      <c r="R16" s="74">
        <f t="shared" si="1"/>
        <v>2.1993078508988688</v>
      </c>
      <c r="S16" s="74">
        <f t="shared" si="6"/>
        <v>1.0996539254494344</v>
      </c>
      <c r="T16" s="74">
        <v>1.1819949999999999</v>
      </c>
      <c r="U16" s="110">
        <f t="shared" si="7"/>
        <v>-8.2341074550565496E-2</v>
      </c>
      <c r="V16" s="74">
        <f t="shared" si="8"/>
        <v>0</v>
      </c>
      <c r="X16" s="74">
        <f t="shared" si="9"/>
        <v>0</v>
      </c>
      <c r="Y16" s="111">
        <v>1.6183019999999999</v>
      </c>
      <c r="Z16" s="112">
        <f t="shared" si="10"/>
        <v>-0.5186480745505655</v>
      </c>
      <c r="AA16" s="111"/>
      <c r="AB16" s="111">
        <f t="shared" si="13"/>
        <v>0</v>
      </c>
      <c r="AG16" s="103">
        <f t="shared" si="11"/>
        <v>2.1993078508988688</v>
      </c>
      <c r="AH16" s="103">
        <f t="shared" si="12"/>
        <v>1.0996539254494344</v>
      </c>
    </row>
    <row r="17" spans="2:34" s="5" customFormat="1" ht="25.5" customHeight="1" x14ac:dyDescent="0.25">
      <c r="B17" s="456" t="s">
        <v>112</v>
      </c>
      <c r="C17" s="98" t="s">
        <v>54</v>
      </c>
      <c r="D17" s="113">
        <v>1.6</v>
      </c>
      <c r="E17" s="415">
        <v>6919576.7039999999</v>
      </c>
      <c r="F17" s="414">
        <f>'CENSO 2020'!C19</f>
        <v>13719</v>
      </c>
      <c r="G17" s="386">
        <f t="shared" si="0"/>
        <v>1.1104401937422297</v>
      </c>
      <c r="H17" s="101">
        <f>((Datos!K$24*0.7)*0.5)*G17%</f>
        <v>669240.3186078259</v>
      </c>
      <c r="I17" s="414">
        <f>'Predial y Agua'!G18</f>
        <v>838691.02</v>
      </c>
      <c r="J17" s="386">
        <f t="shared" si="2"/>
        <v>0.10472559288357852</v>
      </c>
      <c r="K17" s="152">
        <f>((Datos!K$24*0.7)*(0.5))*FFM!J17%</f>
        <v>63116.041316556468</v>
      </c>
      <c r="L17" s="415">
        <f t="shared" si="3"/>
        <v>732356.35992438241</v>
      </c>
      <c r="M17" s="414">
        <v>0</v>
      </c>
      <c r="N17" s="386">
        <v>0</v>
      </c>
      <c r="O17" s="430">
        <v>0</v>
      </c>
      <c r="P17" s="114">
        <f t="shared" si="4"/>
        <v>732356.35992438241</v>
      </c>
      <c r="Q17" s="100">
        <f t="shared" si="5"/>
        <v>7651933.0639243824</v>
      </c>
      <c r="R17" s="74">
        <f t="shared" si="1"/>
        <v>1.2151657866258083</v>
      </c>
      <c r="S17" s="74">
        <f t="shared" si="6"/>
        <v>0.60758289331290416</v>
      </c>
      <c r="T17" s="74">
        <v>0.66424499999999997</v>
      </c>
      <c r="U17" s="110">
        <v>9.9999999999999995E-7</v>
      </c>
      <c r="V17" s="74">
        <f t="shared" si="8"/>
        <v>0</v>
      </c>
      <c r="X17" s="74">
        <f t="shared" si="9"/>
        <v>0</v>
      </c>
      <c r="Y17" s="111">
        <v>0.92457</v>
      </c>
      <c r="Z17" s="112">
        <f t="shared" si="10"/>
        <v>-0.31698710668709584</v>
      </c>
      <c r="AA17" s="111"/>
      <c r="AB17" s="111">
        <f t="shared" si="13"/>
        <v>0</v>
      </c>
      <c r="AG17" s="103">
        <f t="shared" si="11"/>
        <v>1.2151657866258083</v>
      </c>
      <c r="AH17" s="103">
        <f t="shared" si="12"/>
        <v>0.60758289331290416</v>
      </c>
    </row>
    <row r="18" spans="2:34" s="5" customFormat="1" ht="25.5" customHeight="1" x14ac:dyDescent="0.25">
      <c r="B18" s="455" t="s">
        <v>113</v>
      </c>
      <c r="C18" s="106" t="s">
        <v>55</v>
      </c>
      <c r="D18" s="107">
        <v>2.84</v>
      </c>
      <c r="E18" s="430">
        <v>12282248.649599999</v>
      </c>
      <c r="F18" s="414">
        <f>'CENSO 2020'!C20</f>
        <v>33567</v>
      </c>
      <c r="G18" s="450">
        <f t="shared" si="0"/>
        <v>2.7169725186489848</v>
      </c>
      <c r="H18" s="101">
        <f>((Datos!K$24*0.7)*0.5)*G18%</f>
        <v>1637465.54229236</v>
      </c>
      <c r="I18" s="414">
        <f>'Predial y Agua'!G19</f>
        <v>2832078.8</v>
      </c>
      <c r="J18" s="450">
        <f t="shared" si="2"/>
        <v>0.35363575422926735</v>
      </c>
      <c r="K18" s="152">
        <f>((Datos!K$24*0.7)*(0.5))*FFM!J18%</f>
        <v>213129.26726286355</v>
      </c>
      <c r="L18" s="430">
        <f t="shared" si="3"/>
        <v>1850594.8095552234</v>
      </c>
      <c r="M18" s="449">
        <f>'FGP 30%'!I46</f>
        <v>1688702.38</v>
      </c>
      <c r="N18" s="450">
        <f>M18/M$28*100</f>
        <v>19.476953769785901</v>
      </c>
      <c r="O18" s="430">
        <f>(Datos!K24-FFM!H28-FFM!K$28)*FFM!N18%</f>
        <v>10061463.774088969</v>
      </c>
      <c r="P18" s="108">
        <f t="shared" si="4"/>
        <v>11912058.583644193</v>
      </c>
      <c r="Q18" s="109">
        <f t="shared" si="5"/>
        <v>24194307.233244192</v>
      </c>
      <c r="R18" s="74">
        <f t="shared" si="1"/>
        <v>3.070608272878252</v>
      </c>
      <c r="S18" s="74">
        <f t="shared" si="6"/>
        <v>1.535304136439126</v>
      </c>
      <c r="T18" s="74">
        <v>1.606241</v>
      </c>
      <c r="U18" s="110">
        <f t="shared" si="7"/>
        <v>-7.0936863560874031E-2</v>
      </c>
      <c r="V18" s="74">
        <f t="shared" si="8"/>
        <v>19.476953769785901</v>
      </c>
      <c r="W18" s="5">
        <v>16.427489000000001</v>
      </c>
      <c r="X18" s="74">
        <f t="shared" si="9"/>
        <v>3.0494647697858994</v>
      </c>
      <c r="Y18" s="111">
        <v>2.2329530000000002</v>
      </c>
      <c r="Z18" s="112">
        <f t="shared" si="10"/>
        <v>-0.69764886356087419</v>
      </c>
      <c r="AA18" s="111">
        <v>14.111107000000001</v>
      </c>
      <c r="AB18" s="111">
        <f t="shared" si="13"/>
        <v>2.3163820000000008</v>
      </c>
      <c r="AG18" s="103">
        <f t="shared" si="11"/>
        <v>3.070608272878252</v>
      </c>
      <c r="AH18" s="103">
        <f t="shared" si="12"/>
        <v>1.535304136439126</v>
      </c>
    </row>
    <row r="19" spans="2:34" s="5" customFormat="1" ht="25.5" customHeight="1" x14ac:dyDescent="0.25">
      <c r="B19" s="456" t="s">
        <v>112</v>
      </c>
      <c r="C19" s="98" t="s">
        <v>56</v>
      </c>
      <c r="D19" s="113">
        <v>3.33</v>
      </c>
      <c r="E19" s="415">
        <v>14401369.015200002</v>
      </c>
      <c r="F19" s="414">
        <f>'CENSO 2020'!C21</f>
        <v>24096</v>
      </c>
      <c r="G19" s="386">
        <f t="shared" si="0"/>
        <v>1.9503729796933278</v>
      </c>
      <c r="H19" s="101">
        <f>((Datos!K$24*0.7)*0.5)*G19%</f>
        <v>1175451.1784513572</v>
      </c>
      <c r="I19" s="414">
        <f>'Predial y Agua'!G20</f>
        <v>3147655.25</v>
      </c>
      <c r="J19" s="386">
        <f t="shared" si="2"/>
        <v>0.39304112526369789</v>
      </c>
      <c r="K19" s="152">
        <f>((Datos!K$24*0.7)*(0.5))*FFM!J19%</f>
        <v>236878.10417867106</v>
      </c>
      <c r="L19" s="415">
        <f t="shared" si="3"/>
        <v>1412329.2826300282</v>
      </c>
      <c r="M19" s="414">
        <v>0</v>
      </c>
      <c r="N19" s="386">
        <v>0</v>
      </c>
      <c r="O19" s="430">
        <f>(Datos!K31-FFM!H34-FFM!K$28)*FFM!N19%</f>
        <v>0</v>
      </c>
      <c r="P19" s="114">
        <f t="shared" si="4"/>
        <v>1412329.2826300282</v>
      </c>
      <c r="Q19" s="100">
        <f t="shared" si="5"/>
        <v>15813698.29783003</v>
      </c>
      <c r="R19" s="74">
        <f t="shared" si="1"/>
        <v>2.3434141049570258</v>
      </c>
      <c r="S19" s="74">
        <f t="shared" si="6"/>
        <v>1.1717070524785129</v>
      </c>
      <c r="T19" s="74">
        <v>1.225519</v>
      </c>
      <c r="U19" s="110">
        <f t="shared" si="7"/>
        <v>-5.3811947521487102E-2</v>
      </c>
      <c r="V19" s="74">
        <f t="shared" si="8"/>
        <v>0</v>
      </c>
      <c r="X19" s="74">
        <f t="shared" si="9"/>
        <v>0</v>
      </c>
      <c r="Y19" s="111">
        <v>1.699298</v>
      </c>
      <c r="Z19" s="112">
        <f t="shared" si="10"/>
        <v>-0.52759094752148705</v>
      </c>
      <c r="AA19" s="111"/>
      <c r="AB19" s="111">
        <f t="shared" si="13"/>
        <v>0</v>
      </c>
      <c r="AG19" s="103">
        <f t="shared" si="11"/>
        <v>2.3434141049570258</v>
      </c>
      <c r="AH19" s="103">
        <f t="shared" si="12"/>
        <v>1.1717070524785129</v>
      </c>
    </row>
    <row r="20" spans="2:34" s="5" customFormat="1" ht="25.5" customHeight="1" x14ac:dyDescent="0.25">
      <c r="B20" s="456" t="s">
        <v>112</v>
      </c>
      <c r="C20" s="98" t="s">
        <v>57</v>
      </c>
      <c r="D20" s="113">
        <v>4.6900000000000004</v>
      </c>
      <c r="E20" s="415">
        <v>20283009.213600002</v>
      </c>
      <c r="F20" s="414">
        <f>'CENSO 2020'!C22</f>
        <v>41518</v>
      </c>
      <c r="G20" s="386">
        <f t="shared" si="0"/>
        <v>3.3605405615416495</v>
      </c>
      <c r="H20" s="101">
        <f>((Datos!K$24*0.7)*0.5)*G20%</f>
        <v>2025331.2594183036</v>
      </c>
      <c r="I20" s="414">
        <f>'Predial y Agua'!G21</f>
        <v>6543396.5999999996</v>
      </c>
      <c r="J20" s="386">
        <f t="shared" si="2"/>
        <v>0.81706024276662903</v>
      </c>
      <c r="K20" s="152">
        <f>((Datos!K$24*0.7)*(0.5))*FFM!J20%</f>
        <v>492426.03093117062</v>
      </c>
      <c r="L20" s="415">
        <f t="shared" si="3"/>
        <v>2517757.2903494742</v>
      </c>
      <c r="M20" s="414">
        <v>0</v>
      </c>
      <c r="N20" s="386">
        <v>0</v>
      </c>
      <c r="O20" s="430">
        <v>0</v>
      </c>
      <c r="P20" s="114">
        <f t="shared" si="4"/>
        <v>2517757.2903494742</v>
      </c>
      <c r="Q20" s="100">
        <f t="shared" si="5"/>
        <v>22800766.503949478</v>
      </c>
      <c r="R20" s="74">
        <f t="shared" si="1"/>
        <v>4.1776008043082786</v>
      </c>
      <c r="S20" s="74">
        <f t="shared" si="6"/>
        <v>2.0888004021541393</v>
      </c>
      <c r="T20" s="74">
        <v>2.2379220000000002</v>
      </c>
      <c r="U20" s="110">
        <f t="shared" si="7"/>
        <v>-0.14912159784586088</v>
      </c>
      <c r="V20" s="74">
        <f t="shared" si="8"/>
        <v>0</v>
      </c>
      <c r="X20" s="74">
        <f t="shared" si="9"/>
        <v>0</v>
      </c>
      <c r="Y20" s="111">
        <v>3.0983839999999998</v>
      </c>
      <c r="Z20" s="112">
        <f t="shared" si="10"/>
        <v>-1.0095835978458605</v>
      </c>
      <c r="AA20" s="111"/>
      <c r="AB20" s="111">
        <f t="shared" si="13"/>
        <v>0</v>
      </c>
      <c r="AG20" s="103">
        <f t="shared" si="11"/>
        <v>4.1776008043082786</v>
      </c>
      <c r="AH20" s="103">
        <f t="shared" si="12"/>
        <v>2.0888004021541393</v>
      </c>
    </row>
    <row r="21" spans="2:34" s="5" customFormat="1" ht="25.5" customHeight="1" x14ac:dyDescent="0.25">
      <c r="B21" s="456" t="s">
        <v>112</v>
      </c>
      <c r="C21" s="98" t="s">
        <v>58</v>
      </c>
      <c r="D21" s="113">
        <v>2.13</v>
      </c>
      <c r="E21" s="415">
        <v>9211686.4871999994</v>
      </c>
      <c r="F21" s="414">
        <f>'CENSO 2020'!C23</f>
        <v>7683</v>
      </c>
      <c r="G21" s="386">
        <f t="shared" si="0"/>
        <v>0.62187564753418989</v>
      </c>
      <c r="H21" s="101">
        <f>((Datos!K$24*0.7)*0.5)*G21%</f>
        <v>374792.13994197291</v>
      </c>
      <c r="I21" s="414">
        <f>'Predial y Agua'!G22</f>
        <v>2330761.59</v>
      </c>
      <c r="J21" s="386">
        <f t="shared" si="2"/>
        <v>0.2910373231169473</v>
      </c>
      <c r="K21" s="152">
        <f>((Datos!K$24*0.7)*(0.5))*FFM!J21%</f>
        <v>175402.43224910507</v>
      </c>
      <c r="L21" s="415">
        <f t="shared" si="3"/>
        <v>550194.57219107798</v>
      </c>
      <c r="M21" s="414">
        <v>0</v>
      </c>
      <c r="N21" s="386">
        <f>M21/M$28*100</f>
        <v>0</v>
      </c>
      <c r="O21" s="415">
        <f>(Datos!K24-FFM!H28-FFM!K$28)*FFM!N21%</f>
        <v>0</v>
      </c>
      <c r="P21" s="114">
        <f t="shared" si="4"/>
        <v>550194.57219107798</v>
      </c>
      <c r="Q21" s="100">
        <f t="shared" si="5"/>
        <v>9761881.0593910776</v>
      </c>
      <c r="R21" s="74">
        <f t="shared" si="1"/>
        <v>0.91291297065113719</v>
      </c>
      <c r="S21" s="74">
        <f t="shared" si="6"/>
        <v>0.4564564853255686</v>
      </c>
      <c r="T21" s="74">
        <v>0.43209399999999998</v>
      </c>
      <c r="U21" s="110">
        <f t="shared" si="7"/>
        <v>2.4362485325568617E-2</v>
      </c>
      <c r="V21" s="74">
        <f t="shared" si="8"/>
        <v>0</v>
      </c>
      <c r="W21" s="5">
        <v>11.183956</v>
      </c>
      <c r="X21" s="74">
        <f t="shared" si="9"/>
        <v>-11.183956</v>
      </c>
      <c r="Y21" s="111">
        <v>0.59435300000000002</v>
      </c>
      <c r="Z21" s="112">
        <f t="shared" si="10"/>
        <v>-0.13789651467443143</v>
      </c>
      <c r="AA21" s="111">
        <v>3.7560030000000002</v>
      </c>
      <c r="AB21" s="111">
        <f t="shared" si="13"/>
        <v>7.4279530000000005</v>
      </c>
      <c r="AG21" s="103">
        <f t="shared" si="11"/>
        <v>0.91291297065113719</v>
      </c>
      <c r="AH21" s="103">
        <f t="shared" si="12"/>
        <v>0.4564564853255686</v>
      </c>
    </row>
    <row r="22" spans="2:34" s="5" customFormat="1" ht="25.5" customHeight="1" x14ac:dyDescent="0.25">
      <c r="B22" s="456" t="s">
        <v>114</v>
      </c>
      <c r="C22" s="98" t="s">
        <v>59</v>
      </c>
      <c r="D22" s="113">
        <v>2.81</v>
      </c>
      <c r="E22" s="415">
        <v>12152506.5864</v>
      </c>
      <c r="F22" s="414">
        <f>'CENSO 2020'!C24</f>
        <v>24911</v>
      </c>
      <c r="G22" s="386">
        <f t="shared" si="0"/>
        <v>2.0163405252797348</v>
      </c>
      <c r="H22" s="101">
        <f>((Datos!K$24*0.7)*0.5)*G22%</f>
        <v>1215208.5120518659</v>
      </c>
      <c r="I22" s="414">
        <f>'Predial y Agua'!G23</f>
        <v>4292702.12</v>
      </c>
      <c r="J22" s="386">
        <f t="shared" si="2"/>
        <v>0.53602073215186485</v>
      </c>
      <c r="K22" s="152">
        <f>((Datos!K$24*0.7)*(0.5))*FFM!J22%</f>
        <v>323049.08232544269</v>
      </c>
      <c r="L22" s="415">
        <f t="shared" si="3"/>
        <v>1538257.5943773086</v>
      </c>
      <c r="M22" s="414">
        <v>0</v>
      </c>
      <c r="N22" s="386">
        <v>0</v>
      </c>
      <c r="O22" s="415">
        <v>0</v>
      </c>
      <c r="P22" s="114">
        <f t="shared" si="4"/>
        <v>1538257.5943773086</v>
      </c>
      <c r="Q22" s="100">
        <f t="shared" si="5"/>
        <v>13690764.180777309</v>
      </c>
      <c r="R22" s="74">
        <f t="shared" si="1"/>
        <v>2.5523612574315999</v>
      </c>
      <c r="S22" s="74">
        <f t="shared" si="6"/>
        <v>1.2761806287158</v>
      </c>
      <c r="T22" s="74">
        <v>1.3994949999999999</v>
      </c>
      <c r="U22" s="110">
        <f t="shared" si="7"/>
        <v>-0.12331437128419998</v>
      </c>
      <c r="V22" s="74">
        <f t="shared" si="8"/>
        <v>0</v>
      </c>
      <c r="X22" s="74">
        <f t="shared" si="9"/>
        <v>0</v>
      </c>
      <c r="Y22" s="111">
        <v>1.921861</v>
      </c>
      <c r="Z22" s="112">
        <f t="shared" si="10"/>
        <v>-0.64568037128420008</v>
      </c>
      <c r="AA22" s="111"/>
      <c r="AB22" s="111">
        <f t="shared" si="13"/>
        <v>0</v>
      </c>
      <c r="AG22" s="103">
        <f t="shared" si="11"/>
        <v>2.5523612574315999</v>
      </c>
      <c r="AH22" s="103">
        <f t="shared" si="12"/>
        <v>1.2761806287158</v>
      </c>
    </row>
    <row r="23" spans="2:34" s="5" customFormat="1" ht="25.5" customHeight="1" x14ac:dyDescent="0.25">
      <c r="B23" s="455" t="s">
        <v>113</v>
      </c>
      <c r="C23" s="106" t="s">
        <v>60</v>
      </c>
      <c r="D23" s="107">
        <v>8.34</v>
      </c>
      <c r="E23" s="430">
        <v>36068293.569600001</v>
      </c>
      <c r="F23" s="414">
        <f>'CENSO 2020'!C25</f>
        <v>93981</v>
      </c>
      <c r="G23" s="450">
        <f t="shared" si="0"/>
        <v>7.6069888365105687</v>
      </c>
      <c r="H23" s="101">
        <f>((Datos!K$24*0.7)*0.5)*G23%</f>
        <v>4584581.5571894506</v>
      </c>
      <c r="I23" s="414">
        <f>'Predial y Agua'!G24</f>
        <v>20249401.050000001</v>
      </c>
      <c r="J23" s="450">
        <f t="shared" si="2"/>
        <v>2.5285003415186287</v>
      </c>
      <c r="K23" s="152">
        <f>((Datos!K$24*0.7)*(0.5))*FFM!J23%</f>
        <v>1523877.0927907657</v>
      </c>
      <c r="L23" s="430">
        <f t="shared" si="3"/>
        <v>6108458.6499802163</v>
      </c>
      <c r="M23" s="449">
        <f>'FGP 30%'!I51</f>
        <v>5373173.21</v>
      </c>
      <c r="N23" s="450">
        <f>M23/M$28*100</f>
        <v>61.972463263906889</v>
      </c>
      <c r="O23" s="430">
        <f>(Datos!K24-FFM!H28-FFM!K$28)*FFM!N23%</f>
        <v>32013922.787460245</v>
      </c>
      <c r="P23" s="108">
        <f t="shared" si="4"/>
        <v>38122381.437440462</v>
      </c>
      <c r="Q23" s="109">
        <f t="shared" si="5"/>
        <v>74190675.007040471</v>
      </c>
      <c r="R23" s="74">
        <f t="shared" si="1"/>
        <v>10.135489178029196</v>
      </c>
      <c r="S23" s="74">
        <f t="shared" si="6"/>
        <v>5.0677445890145982</v>
      </c>
      <c r="T23" s="74">
        <v>5.5728949999999999</v>
      </c>
      <c r="U23" s="110">
        <f t="shared" si="7"/>
        <v>-0.5051504109854017</v>
      </c>
      <c r="V23" s="74">
        <f t="shared" si="8"/>
        <v>61.972463263906889</v>
      </c>
      <c r="W23" s="5">
        <v>59.916367999999999</v>
      </c>
      <c r="X23" s="74">
        <f t="shared" si="9"/>
        <v>2.0560952639068901</v>
      </c>
      <c r="Y23" s="111">
        <v>7.6699279999999996</v>
      </c>
      <c r="Z23" s="112">
        <f t="shared" si="10"/>
        <v>-2.6021834109854014</v>
      </c>
      <c r="AA23" s="111">
        <v>48.469971999999999</v>
      </c>
      <c r="AB23" s="111">
        <f t="shared" si="13"/>
        <v>11.446396</v>
      </c>
      <c r="AG23" s="103">
        <f t="shared" si="11"/>
        <v>10.135489178029196</v>
      </c>
      <c r="AH23" s="103">
        <f t="shared" si="12"/>
        <v>5.0677445890145982</v>
      </c>
    </row>
    <row r="24" spans="2:34" s="5" customFormat="1" ht="25.5" customHeight="1" x14ac:dyDescent="0.25">
      <c r="B24" s="456" t="s">
        <v>112</v>
      </c>
      <c r="C24" s="98" t="s">
        <v>61</v>
      </c>
      <c r="D24" s="113">
        <v>3.5</v>
      </c>
      <c r="E24" s="415">
        <v>15136574.040000001</v>
      </c>
      <c r="F24" s="414">
        <f>'CENSO 2020'!C26</f>
        <v>37135</v>
      </c>
      <c r="G24" s="386">
        <f t="shared" si="0"/>
        <v>3.0057727673021133</v>
      </c>
      <c r="H24" s="101">
        <f>((Datos!K$24*0.7)*0.5)*G24%</f>
        <v>1811519.7340550772</v>
      </c>
      <c r="I24" s="414">
        <f>'Predial y Agua'!G25</f>
        <v>6350766.8900000006</v>
      </c>
      <c r="J24" s="386">
        <f t="shared" si="2"/>
        <v>0.79300697391591257</v>
      </c>
      <c r="K24" s="152">
        <f>((Datos!K$24*0.7)*(0.5))*FFM!J24%</f>
        <v>477929.60203754046</v>
      </c>
      <c r="L24" s="415">
        <f t="shared" si="3"/>
        <v>2289449.3360926178</v>
      </c>
      <c r="M24" s="414">
        <v>0</v>
      </c>
      <c r="N24" s="386">
        <v>0</v>
      </c>
      <c r="O24" s="415">
        <v>0</v>
      </c>
      <c r="P24" s="114">
        <f t="shared" si="4"/>
        <v>2289449.3360926178</v>
      </c>
      <c r="Q24" s="100">
        <f t="shared" si="5"/>
        <v>17426023.37609262</v>
      </c>
      <c r="R24" s="74">
        <f t="shared" si="1"/>
        <v>3.7987797412180258</v>
      </c>
      <c r="S24" s="74">
        <f t="shared" si="6"/>
        <v>1.8993898706090129</v>
      </c>
      <c r="T24" s="74">
        <v>2.767077</v>
      </c>
      <c r="U24" s="110">
        <f t="shared" si="7"/>
        <v>-0.86768712939098713</v>
      </c>
      <c r="V24" s="74">
        <f t="shared" si="8"/>
        <v>0</v>
      </c>
      <c r="X24" s="74">
        <f t="shared" si="9"/>
        <v>0</v>
      </c>
      <c r="Y24" s="111">
        <v>3.7737189999999998</v>
      </c>
      <c r="Z24" s="112">
        <f t="shared" si="10"/>
        <v>-1.8743291293909869</v>
      </c>
      <c r="AA24" s="111"/>
      <c r="AB24" s="111">
        <f t="shared" si="13"/>
        <v>0</v>
      </c>
      <c r="AG24" s="103">
        <f t="shared" si="11"/>
        <v>3.7987797412180258</v>
      </c>
      <c r="AH24" s="103">
        <f t="shared" si="12"/>
        <v>1.8993898706090129</v>
      </c>
    </row>
    <row r="25" spans="2:34" s="5" customFormat="1" ht="25.5" customHeight="1" x14ac:dyDescent="0.25">
      <c r="B25" s="456" t="s">
        <v>112</v>
      </c>
      <c r="C25" s="98" t="s">
        <v>62</v>
      </c>
      <c r="D25" s="113">
        <v>39</v>
      </c>
      <c r="E25" s="415">
        <v>168664682.16</v>
      </c>
      <c r="F25" s="414">
        <f>'CENSO 2020'!C27</f>
        <v>425924</v>
      </c>
      <c r="G25" s="386">
        <f t="shared" si="0"/>
        <v>34.475044032324909</v>
      </c>
      <c r="H25" s="101">
        <f>((Datos!K$24*0.7)*0.5)*G25%</f>
        <v>20777426.449647903</v>
      </c>
      <c r="I25" s="414">
        <f>'Predial y Agua'!G26</f>
        <v>271389232.78000003</v>
      </c>
      <c r="J25" s="386">
        <f t="shared" si="2"/>
        <v>33.887805672588463</v>
      </c>
      <c r="K25" s="152">
        <f>((Datos!K$24*0.7)*(0.5))*FFM!J25%</f>
        <v>20423509.517260652</v>
      </c>
      <c r="L25" s="415">
        <f t="shared" si="3"/>
        <v>41200935.966908559</v>
      </c>
      <c r="M25" s="414">
        <v>0</v>
      </c>
      <c r="N25" s="386">
        <v>0</v>
      </c>
      <c r="O25" s="415">
        <v>0</v>
      </c>
      <c r="P25" s="114">
        <f t="shared" si="4"/>
        <v>41200935.966908559</v>
      </c>
      <c r="Q25" s="100">
        <f t="shared" si="5"/>
        <v>209865618.12690854</v>
      </c>
      <c r="R25" s="74">
        <f t="shared" si="1"/>
        <v>68.362849704913373</v>
      </c>
      <c r="S25" s="74">
        <f t="shared" si="6"/>
        <v>34.181424852456686</v>
      </c>
      <c r="T25" s="74">
        <v>35.053296000000003</v>
      </c>
      <c r="U25" s="110">
        <f t="shared" si="7"/>
        <v>-0.87187114754331674</v>
      </c>
      <c r="V25" s="74">
        <f t="shared" si="8"/>
        <v>0</v>
      </c>
      <c r="X25" s="74">
        <f t="shared" si="9"/>
        <v>0</v>
      </c>
      <c r="Y25" s="111">
        <v>47.455587999999999</v>
      </c>
      <c r="Z25" s="112">
        <f t="shared" si="10"/>
        <v>-13.274163147543312</v>
      </c>
      <c r="AA25" s="111"/>
      <c r="AB25" s="111">
        <f t="shared" si="13"/>
        <v>0</v>
      </c>
      <c r="AG25" s="103">
        <f t="shared" si="11"/>
        <v>68.362849704913373</v>
      </c>
      <c r="AH25" s="103">
        <f t="shared" si="12"/>
        <v>34.181424852456686</v>
      </c>
    </row>
    <row r="26" spans="2:34" s="5" customFormat="1" ht="25.5" customHeight="1" x14ac:dyDescent="0.25">
      <c r="B26" s="455" t="s">
        <v>115</v>
      </c>
      <c r="C26" s="106" t="s">
        <v>63</v>
      </c>
      <c r="D26" s="107">
        <v>3.79</v>
      </c>
      <c r="E26" s="430">
        <v>16390747.317600001</v>
      </c>
      <c r="F26" s="414">
        <f>'CENSO 2020'!C28</f>
        <v>30064</v>
      </c>
      <c r="G26" s="450">
        <f t="shared" si="0"/>
        <v>2.4334334852880231</v>
      </c>
      <c r="H26" s="101">
        <f>((Datos!K$24*0.7)*0.5)*G26%</f>
        <v>1466582.1808167994</v>
      </c>
      <c r="I26" s="414">
        <f>'Predial y Agua'!G27</f>
        <v>2577638.86</v>
      </c>
      <c r="J26" s="450">
        <f t="shared" si="2"/>
        <v>0.32186437128330214</v>
      </c>
      <c r="K26" s="152">
        <f>((Datos!K$24*0.7)*(0.5))*FFM!J26%</f>
        <v>193981.28381882698</v>
      </c>
      <c r="L26" s="430">
        <f t="shared" si="3"/>
        <v>1660563.4646356264</v>
      </c>
      <c r="M26" s="449">
        <f>'FGP 30%'!I54</f>
        <v>1556664.93</v>
      </c>
      <c r="N26" s="450">
        <f>M26/M$28*100</f>
        <v>17.954076002816439</v>
      </c>
      <c r="O26" s="430">
        <f>(Datos!K24-FFM!H28-FFM!K$28)*FFM!N26%</f>
        <v>9274770.9644311275</v>
      </c>
      <c r="P26" s="108">
        <f t="shared" si="4"/>
        <v>10935334.429066755</v>
      </c>
      <c r="Q26" s="109">
        <f t="shared" si="5"/>
        <v>27326081.746666752</v>
      </c>
      <c r="R26" s="74">
        <f t="shared" si="1"/>
        <v>2.7552978565713251</v>
      </c>
      <c r="S26" s="74">
        <f t="shared" si="6"/>
        <v>1.3776489282856625</v>
      </c>
      <c r="T26" s="74">
        <v>1.450617</v>
      </c>
      <c r="U26" s="110">
        <f t="shared" si="7"/>
        <v>-7.2968071714337501E-2</v>
      </c>
      <c r="V26" s="74">
        <f t="shared" si="8"/>
        <v>17.954076002816439</v>
      </c>
      <c r="W26" s="5">
        <v>11.919331</v>
      </c>
      <c r="X26" s="74">
        <f t="shared" si="9"/>
        <v>6.0347450028164396</v>
      </c>
      <c r="Y26" s="111">
        <v>2.0164080000000002</v>
      </c>
      <c r="Z26" s="112">
        <f t="shared" si="10"/>
        <v>-0.63875907171433766</v>
      </c>
      <c r="AA26" s="111">
        <v>12.742653000000001</v>
      </c>
      <c r="AB26" s="111">
        <f t="shared" si="13"/>
        <v>-0.823322000000001</v>
      </c>
      <c r="AG26" s="103">
        <f t="shared" si="11"/>
        <v>2.7552978565713251</v>
      </c>
      <c r="AH26" s="103">
        <f t="shared" si="12"/>
        <v>1.3776489282856625</v>
      </c>
    </row>
    <row r="27" spans="2:34" s="5" customFormat="1" ht="25.5" customHeight="1" thickBot="1" x14ac:dyDescent="0.3">
      <c r="B27" s="457" t="s">
        <v>112</v>
      </c>
      <c r="C27" s="115" t="s">
        <v>64</v>
      </c>
      <c r="D27" s="113">
        <v>3.1</v>
      </c>
      <c r="E27" s="415">
        <v>13406679.864</v>
      </c>
      <c r="F27" s="414">
        <f>'CENSO 2020'!C29</f>
        <v>65229</v>
      </c>
      <c r="G27" s="386">
        <f t="shared" si="0"/>
        <v>5.2797509583506006</v>
      </c>
      <c r="H27" s="101">
        <f>((Datos!K$24*0.7)*0.5)*G27%</f>
        <v>3182001.3661688068</v>
      </c>
      <c r="I27" s="414">
        <f>'Predial y Agua'!G28</f>
        <v>43314555.549999997</v>
      </c>
      <c r="J27" s="386">
        <f t="shared" si="2"/>
        <v>5.4085979249693716</v>
      </c>
      <c r="K27" s="152">
        <f>((Datos!K$24*0.7)*(0.5))*FFM!J27%</f>
        <v>3259654.8818444246</v>
      </c>
      <c r="L27" s="415">
        <f t="shared" si="3"/>
        <v>6441656.2480132319</v>
      </c>
      <c r="M27" s="414">
        <v>0</v>
      </c>
      <c r="N27" s="386">
        <v>0</v>
      </c>
      <c r="O27" s="415">
        <v>0</v>
      </c>
      <c r="P27" s="114">
        <f t="shared" si="4"/>
        <v>6441656.2480132319</v>
      </c>
      <c r="Q27" s="100">
        <f t="shared" si="5"/>
        <v>19848336.112013232</v>
      </c>
      <c r="R27" s="74">
        <f t="shared" si="1"/>
        <v>10.688348883319971</v>
      </c>
      <c r="S27" s="74">
        <f t="shared" si="6"/>
        <v>5.3441744416599857</v>
      </c>
      <c r="T27" s="74">
        <v>5.1532229999999997</v>
      </c>
      <c r="U27" s="110">
        <f t="shared" si="7"/>
        <v>0.19095144165998601</v>
      </c>
      <c r="V27" s="74">
        <f t="shared" si="8"/>
        <v>0</v>
      </c>
      <c r="X27" s="74">
        <f t="shared" si="9"/>
        <v>0</v>
      </c>
      <c r="Y27" s="111">
        <v>6.9632639999999997</v>
      </c>
      <c r="Z27" s="112">
        <f t="shared" si="10"/>
        <v>-1.619089558340014</v>
      </c>
      <c r="AA27" s="111"/>
      <c r="AB27" s="111"/>
      <c r="AG27" s="103">
        <f t="shared" si="11"/>
        <v>10.688348883319971</v>
      </c>
      <c r="AH27" s="103">
        <f t="shared" si="12"/>
        <v>5.3441744416599857</v>
      </c>
    </row>
    <row r="28" spans="2:34" ht="15.75" thickBot="1" x14ac:dyDescent="0.3">
      <c r="B28" s="1081" t="s">
        <v>65</v>
      </c>
      <c r="C28" s="1082"/>
      <c r="D28" s="453">
        <f>SUM(D8:D27)</f>
        <v>100</v>
      </c>
      <c r="E28" s="329">
        <f>SUM(E8:E27)</f>
        <v>432473544.00000006</v>
      </c>
      <c r="F28" s="451">
        <f>SUM(F8:F27)</f>
        <v>1235456</v>
      </c>
      <c r="G28" s="327">
        <f t="shared" si="0"/>
        <v>100</v>
      </c>
      <c r="H28" s="116">
        <f>SUM(H8:H27)</f>
        <v>60268020.04999999</v>
      </c>
      <c r="I28" s="116">
        <f>SUM(I8:I27)</f>
        <v>800846284.94999993</v>
      </c>
      <c r="J28" s="327">
        <f>I28/I$28*100</f>
        <v>100</v>
      </c>
      <c r="K28" s="116">
        <f>SUM(K8:K27)</f>
        <v>60268020.050000019</v>
      </c>
      <c r="L28" s="329">
        <f>SUM(L8:L27)</f>
        <v>120536040.10000001</v>
      </c>
      <c r="M28" s="451">
        <f>SUM(M8:M27)</f>
        <v>8670259.2200000007</v>
      </c>
      <c r="N28" s="327">
        <f>SUM(N8:N27)</f>
        <v>99.999999999999986</v>
      </c>
      <c r="O28" s="116">
        <f>(Datos!K24-FFM!H28-FFM!K$28)*FFM!N28%</f>
        <v>51658302.899999991</v>
      </c>
      <c r="P28" s="328">
        <f>SUM(P8:P27)</f>
        <v>172194343</v>
      </c>
      <c r="Q28" s="329">
        <f>SUM(Q8:Q27)</f>
        <v>604667887</v>
      </c>
      <c r="R28" s="103">
        <f>SUM(R8:R27)</f>
        <v>200</v>
      </c>
      <c r="S28" s="103">
        <f t="shared" si="6"/>
        <v>100</v>
      </c>
      <c r="T28" s="103">
        <f>SUM(T8:T27)</f>
        <v>100.000001</v>
      </c>
      <c r="U28" s="103">
        <f>SUM(U8:U27)</f>
        <v>5.6662106687098257E-2</v>
      </c>
      <c r="V28" s="103">
        <f>SUM(V8:V27)</f>
        <v>99.999999999999986</v>
      </c>
      <c r="W28" s="103">
        <f t="shared" ref="W28:X28" si="14">SUM(W8:W27)</f>
        <v>99.999999000000003</v>
      </c>
      <c r="X28" s="103">
        <f t="shared" si="14"/>
        <v>9.9999999214617219E-7</v>
      </c>
      <c r="Y28" s="105">
        <f>SUM(Y8:Y27)</f>
        <v>140.00000000000003</v>
      </c>
      <c r="Z28" s="105">
        <f t="shared" ref="Z28:AB28" si="15">SUM(Z8:Z27)</f>
        <v>-40</v>
      </c>
      <c r="AA28" s="105">
        <f t="shared" si="15"/>
        <v>99.999999000000003</v>
      </c>
      <c r="AB28" s="105">
        <f t="shared" si="15"/>
        <v>1.7763568394002505E-15</v>
      </c>
      <c r="AG28" s="103">
        <f t="shared" si="11"/>
        <v>200</v>
      </c>
      <c r="AH28">
        <f t="shared" si="12"/>
        <v>100</v>
      </c>
    </row>
    <row r="29" spans="2:34" x14ac:dyDescent="0.25">
      <c r="B29" s="1083" t="s">
        <v>295</v>
      </c>
      <c r="C29" s="1083"/>
      <c r="D29" s="1083"/>
      <c r="E29" s="1083"/>
      <c r="F29" s="1083"/>
      <c r="G29" s="1083"/>
      <c r="H29" s="1083"/>
      <c r="I29" s="1083"/>
      <c r="J29" s="1083"/>
      <c r="K29" s="1083"/>
      <c r="L29" s="1083"/>
      <c r="M29" s="1083"/>
      <c r="N29" s="1083"/>
      <c r="O29" s="1083"/>
      <c r="P29" s="1083"/>
      <c r="Q29" s="1083"/>
      <c r="R29" s="8"/>
      <c r="S29" s="8"/>
      <c r="T29" s="8"/>
      <c r="U29" s="8"/>
    </row>
    <row r="30" spans="2:34" x14ac:dyDescent="0.25">
      <c r="C30" s="664" t="s">
        <v>294</v>
      </c>
      <c r="D30" s="56"/>
      <c r="E30" s="8"/>
      <c r="F30" s="8"/>
      <c r="G30" s="8"/>
      <c r="H30" s="665"/>
      <c r="I30" s="8"/>
      <c r="J30" s="8"/>
      <c r="K30" s="82"/>
      <c r="L30" s="82"/>
      <c r="M30" s="666"/>
      <c r="N30" s="666"/>
      <c r="O30" s="667"/>
      <c r="P30" s="8"/>
      <c r="Q30" s="8"/>
      <c r="R30" s="8"/>
      <c r="S30" s="8"/>
      <c r="T30" s="8"/>
      <c r="U30" s="8"/>
    </row>
    <row r="31" spans="2:34" ht="27" customHeight="1" x14ac:dyDescent="0.25">
      <c r="C31" s="1084" t="s">
        <v>373</v>
      </c>
      <c r="D31" s="1084"/>
      <c r="E31" s="1084"/>
      <c r="F31" s="1084"/>
      <c r="G31" s="1084"/>
      <c r="H31" s="1084"/>
      <c r="I31" s="1084"/>
      <c r="J31" s="1084"/>
      <c r="K31" s="1084"/>
      <c r="L31" s="1084"/>
      <c r="M31" s="1084"/>
      <c r="N31" s="1084"/>
      <c r="O31" s="1084"/>
      <c r="P31" s="1084"/>
      <c r="Q31" s="1084"/>
      <c r="R31" s="663"/>
      <c r="S31" s="663"/>
      <c r="T31" s="663"/>
      <c r="U31" s="663"/>
    </row>
    <row r="32" spans="2:34" x14ac:dyDescent="0.25">
      <c r="C32" s="1064" t="s">
        <v>375</v>
      </c>
      <c r="D32" s="1064"/>
      <c r="E32" s="1064"/>
      <c r="F32" s="1064"/>
      <c r="G32" s="1064"/>
      <c r="H32" s="1064"/>
      <c r="I32" s="1064"/>
      <c r="J32" s="1064"/>
      <c r="K32" s="1064"/>
      <c r="L32" s="1064"/>
      <c r="M32" s="1064"/>
      <c r="N32" s="1064"/>
      <c r="O32" s="1064"/>
      <c r="P32" s="1064"/>
      <c r="Q32" s="1064"/>
      <c r="R32" s="1064"/>
      <c r="S32" s="1064"/>
      <c r="T32" s="1064"/>
      <c r="U32" s="1064"/>
    </row>
    <row r="33" spans="3:21" ht="15" hidden="1" customHeight="1" x14ac:dyDescent="0.25">
      <c r="C33" s="1064" t="s">
        <v>296</v>
      </c>
      <c r="D33" s="1064"/>
      <c r="E33" s="1064"/>
      <c r="F33" s="1064"/>
      <c r="G33" s="1064"/>
      <c r="H33" s="1064"/>
      <c r="I33" s="1064"/>
      <c r="J33" s="1064"/>
      <c r="K33" s="1064"/>
      <c r="L33" s="1064"/>
      <c r="M33" s="1064"/>
      <c r="N33" s="1064"/>
      <c r="O33" s="1064"/>
      <c r="P33" s="1064"/>
      <c r="Q33" s="1064"/>
      <c r="R33" s="1064"/>
      <c r="S33" s="1064"/>
      <c r="T33" s="1064"/>
      <c r="U33" s="1064"/>
    </row>
    <row r="34" spans="3:21" hidden="1" x14ac:dyDescent="0.25">
      <c r="C34" s="663"/>
      <c r="D34" s="663"/>
      <c r="E34" s="663"/>
      <c r="F34" s="663"/>
      <c r="G34" s="663"/>
      <c r="H34" s="663"/>
      <c r="I34" s="663"/>
      <c r="J34" s="663"/>
      <c r="K34" s="668"/>
      <c r="L34" s="668"/>
      <c r="M34" s="663"/>
      <c r="N34" s="663"/>
      <c r="O34" s="668"/>
      <c r="P34" s="663"/>
      <c r="Q34" s="663"/>
      <c r="R34" s="663"/>
      <c r="S34" s="663"/>
      <c r="T34" s="663"/>
      <c r="U34" s="663"/>
    </row>
    <row r="35" spans="3:21" hidden="1" x14ac:dyDescent="0.25">
      <c r="C35" s="1066" t="s">
        <v>83</v>
      </c>
      <c r="D35" s="669" t="s">
        <v>84</v>
      </c>
      <c r="E35" s="669" t="s">
        <v>20</v>
      </c>
      <c r="F35" s="669" t="s">
        <v>117</v>
      </c>
      <c r="G35" s="670" t="s">
        <v>118</v>
      </c>
      <c r="H35" s="670" t="s">
        <v>82</v>
      </c>
      <c r="I35" s="669" t="s">
        <v>119</v>
      </c>
      <c r="J35" s="669" t="s">
        <v>120</v>
      </c>
      <c r="K35" s="668"/>
      <c r="L35" s="668"/>
      <c r="M35" s="663"/>
      <c r="N35" s="663"/>
      <c r="O35" s="668"/>
      <c r="P35" s="663"/>
      <c r="Q35" s="663"/>
      <c r="R35" s="663"/>
      <c r="S35" s="663"/>
      <c r="T35" s="663"/>
      <c r="U35" s="663"/>
    </row>
    <row r="36" spans="3:21" hidden="1" x14ac:dyDescent="0.25">
      <c r="C36" s="1067"/>
      <c r="D36" s="671" t="s">
        <v>89</v>
      </c>
      <c r="E36" s="671" t="s">
        <v>30</v>
      </c>
      <c r="F36" s="671" t="s">
        <v>121</v>
      </c>
      <c r="G36" s="672" t="s">
        <v>122</v>
      </c>
      <c r="H36" s="672" t="s">
        <v>123</v>
      </c>
      <c r="I36" s="671" t="s">
        <v>124</v>
      </c>
      <c r="J36" s="671" t="s">
        <v>125</v>
      </c>
      <c r="K36" s="668"/>
      <c r="L36" s="668"/>
      <c r="M36" s="663"/>
      <c r="N36" s="663"/>
      <c r="O36" s="668"/>
      <c r="P36" s="663"/>
      <c r="Q36" s="663"/>
      <c r="R36" s="663"/>
      <c r="S36" s="663"/>
      <c r="T36" s="663"/>
      <c r="U36" s="663"/>
    </row>
    <row r="37" spans="3:21" hidden="1" x14ac:dyDescent="0.25">
      <c r="C37" s="1067"/>
      <c r="D37" s="673">
        <v>2014</v>
      </c>
      <c r="E37" s="673" t="s">
        <v>126</v>
      </c>
      <c r="F37" s="673" t="s">
        <v>127</v>
      </c>
      <c r="G37" s="672" t="s">
        <v>128</v>
      </c>
      <c r="H37" s="672" t="s">
        <v>129</v>
      </c>
      <c r="I37" s="671">
        <v>2014</v>
      </c>
      <c r="J37" s="671" t="s">
        <v>130</v>
      </c>
      <c r="K37" s="668"/>
      <c r="L37" s="668"/>
      <c r="M37" s="663"/>
      <c r="N37" s="663"/>
      <c r="O37" s="668"/>
      <c r="P37" s="663"/>
      <c r="Q37" s="663"/>
      <c r="R37" s="663"/>
      <c r="S37" s="663"/>
      <c r="T37" s="663"/>
      <c r="U37" s="663"/>
    </row>
    <row r="38" spans="3:21" hidden="1" x14ac:dyDescent="0.25">
      <c r="C38" s="1068"/>
      <c r="D38" s="674" t="s">
        <v>70</v>
      </c>
      <c r="E38" s="674" t="s">
        <v>97</v>
      </c>
      <c r="F38" s="674" t="s">
        <v>71</v>
      </c>
      <c r="G38" s="674" t="s">
        <v>98</v>
      </c>
      <c r="H38" s="674" t="s">
        <v>73</v>
      </c>
      <c r="I38" s="674" t="s">
        <v>131</v>
      </c>
      <c r="J38" s="674" t="s">
        <v>74</v>
      </c>
      <c r="K38" s="668"/>
      <c r="L38" s="668"/>
      <c r="M38" s="663"/>
      <c r="N38" s="663"/>
      <c r="O38" s="668"/>
      <c r="P38" s="663"/>
      <c r="Q38" s="663"/>
      <c r="R38" s="663"/>
      <c r="S38" s="663"/>
      <c r="T38" s="663"/>
      <c r="U38" s="663"/>
    </row>
    <row r="39" spans="3:21" hidden="1" x14ac:dyDescent="0.25">
      <c r="C39" s="675" t="s">
        <v>45</v>
      </c>
      <c r="D39" s="676">
        <v>3.62</v>
      </c>
      <c r="E39" s="677">
        <f>[1]Datos!K$23*FFM!D39%</f>
        <v>15655542.292800002</v>
      </c>
      <c r="F39" s="678">
        <f>E39*0.7</f>
        <v>10958879.60496</v>
      </c>
      <c r="G39" s="678">
        <f t="shared" ref="G39:G59" si="16">H8+K8</f>
        <v>2730909.9538328927</v>
      </c>
      <c r="H39" s="678">
        <f t="shared" ref="H39:H59" si="17">E39+G39</f>
        <v>18386452.246632896</v>
      </c>
      <c r="I39" s="678">
        <f>F39+G39</f>
        <v>13689789.558792893</v>
      </c>
      <c r="J39" s="679">
        <f>H39-I39</f>
        <v>4696662.6878400035</v>
      </c>
      <c r="K39" s="668"/>
      <c r="L39" s="668"/>
      <c r="M39" s="663"/>
      <c r="N39" s="663"/>
      <c r="O39" s="668"/>
      <c r="P39" s="663"/>
      <c r="Q39" s="663"/>
      <c r="R39" s="663"/>
      <c r="S39" s="663"/>
      <c r="T39" s="663"/>
      <c r="U39" s="663"/>
    </row>
    <row r="40" spans="3:21" hidden="1" x14ac:dyDescent="0.25">
      <c r="C40" s="680" t="s">
        <v>46</v>
      </c>
      <c r="D40" s="681">
        <v>2.4700000000000002</v>
      </c>
      <c r="E40" s="682">
        <f>[1]Datos!K$23*FFM!D40%</f>
        <v>10682096.536800001</v>
      </c>
      <c r="F40" s="678">
        <f t="shared" ref="F40:F59" si="18">E40*0.7</f>
        <v>7477467.5757600004</v>
      </c>
      <c r="G40" s="678">
        <f t="shared" si="16"/>
        <v>1268881.8236475461</v>
      </c>
      <c r="H40" s="678">
        <f t="shared" si="17"/>
        <v>11950978.360447546</v>
      </c>
      <c r="I40" s="678">
        <f t="shared" ref="I40:I58" si="19">F40+G40</f>
        <v>8746349.399407547</v>
      </c>
      <c r="J40" s="679">
        <f t="shared" ref="J40:J58" si="20">H40-I40</f>
        <v>3204628.9610399995</v>
      </c>
      <c r="K40" s="668"/>
      <c r="L40" s="668"/>
      <c r="M40" s="663"/>
      <c r="N40" s="663"/>
      <c r="O40" s="668"/>
      <c r="P40" s="663"/>
      <c r="Q40" s="663"/>
      <c r="R40" s="663"/>
      <c r="S40" s="663"/>
      <c r="T40" s="663"/>
      <c r="U40" s="663"/>
    </row>
    <row r="41" spans="3:21" hidden="1" x14ac:dyDescent="0.25">
      <c r="C41" s="680" t="s">
        <v>47</v>
      </c>
      <c r="D41" s="681">
        <v>2.33</v>
      </c>
      <c r="E41" s="682">
        <f>[1]Datos!K$23*FFM!D41%</f>
        <v>10076633.575200001</v>
      </c>
      <c r="F41" s="678">
        <f t="shared" si="18"/>
        <v>7053643.5026400005</v>
      </c>
      <c r="G41" s="678">
        <f t="shared" si="16"/>
        <v>815045.05949287652</v>
      </c>
      <c r="H41" s="678">
        <f t="shared" si="17"/>
        <v>10891678.634692878</v>
      </c>
      <c r="I41" s="678">
        <f t="shared" si="19"/>
        <v>7868688.5621328773</v>
      </c>
      <c r="J41" s="679">
        <f t="shared" si="20"/>
        <v>3022990.0725600002</v>
      </c>
      <c r="K41" s="668"/>
      <c r="L41" s="668"/>
      <c r="M41" s="663"/>
      <c r="N41" s="663"/>
      <c r="O41" s="668"/>
      <c r="P41" s="663"/>
      <c r="Q41" s="663"/>
      <c r="R41" s="663"/>
      <c r="S41" s="663"/>
      <c r="T41" s="663"/>
      <c r="U41" s="663"/>
    </row>
    <row r="42" spans="3:21" hidden="1" x14ac:dyDescent="0.25">
      <c r="C42" s="680" t="s">
        <v>48</v>
      </c>
      <c r="D42" s="681">
        <v>2.81</v>
      </c>
      <c r="E42" s="682">
        <f>[1]Datos!K$23*FFM!D42%</f>
        <v>12152506.5864</v>
      </c>
      <c r="F42" s="678">
        <f t="shared" si="18"/>
        <v>8506754.6104799993</v>
      </c>
      <c r="G42" s="678">
        <f t="shared" si="16"/>
        <v>34474123.205255948</v>
      </c>
      <c r="H42" s="678">
        <f t="shared" si="17"/>
        <v>46626629.79165595</v>
      </c>
      <c r="I42" s="678">
        <f t="shared" si="19"/>
        <v>42980877.815735951</v>
      </c>
      <c r="J42" s="679">
        <f t="shared" si="20"/>
        <v>3645751.9759199992</v>
      </c>
      <c r="K42" s="668"/>
      <c r="L42" s="668"/>
      <c r="M42" s="678"/>
      <c r="N42" s="663"/>
      <c r="O42" s="668"/>
      <c r="P42" s="663"/>
      <c r="Q42" s="663"/>
      <c r="R42" s="663"/>
      <c r="S42" s="663"/>
      <c r="T42" s="663"/>
      <c r="U42" s="663"/>
    </row>
    <row r="43" spans="3:21" hidden="1" x14ac:dyDescent="0.25">
      <c r="C43" s="680" t="s">
        <v>49</v>
      </c>
      <c r="D43" s="681">
        <v>4.6399999999999997</v>
      </c>
      <c r="E43" s="682">
        <f>[1]Datos!K$23*FFM!D43%</f>
        <v>20066772.441599999</v>
      </c>
      <c r="F43" s="678">
        <f t="shared" si="18"/>
        <v>14046740.709119998</v>
      </c>
      <c r="G43" s="678">
        <f t="shared" si="16"/>
        <v>8254206.6527851205</v>
      </c>
      <c r="H43" s="678">
        <f t="shared" si="17"/>
        <v>28320979.094385117</v>
      </c>
      <c r="I43" s="678">
        <f t="shared" si="19"/>
        <v>22300947.36190512</v>
      </c>
      <c r="J43" s="679">
        <f t="shared" si="20"/>
        <v>6020031.732479997</v>
      </c>
      <c r="K43" s="668"/>
      <c r="L43" s="668"/>
      <c r="M43" s="678"/>
      <c r="N43" s="663"/>
      <c r="O43" s="668"/>
      <c r="P43" s="663"/>
      <c r="Q43" s="663"/>
      <c r="R43" s="663"/>
      <c r="S43" s="663"/>
      <c r="T43" s="663"/>
      <c r="U43" s="663"/>
    </row>
    <row r="44" spans="3:21" hidden="1" x14ac:dyDescent="0.25">
      <c r="C44" s="680" t="s">
        <v>50</v>
      </c>
      <c r="D44" s="681">
        <v>1.5</v>
      </c>
      <c r="E44" s="682">
        <f>[1]Datos!K$23*FFM!D44%</f>
        <v>6487103.1600000001</v>
      </c>
      <c r="F44" s="678">
        <f t="shared" si="18"/>
        <v>4540972.2119999994</v>
      </c>
      <c r="G44" s="678">
        <f t="shared" si="16"/>
        <v>2332518.3379465155</v>
      </c>
      <c r="H44" s="678">
        <f t="shared" si="17"/>
        <v>8819621.4979465157</v>
      </c>
      <c r="I44" s="678">
        <f t="shared" si="19"/>
        <v>6873490.5499465149</v>
      </c>
      <c r="J44" s="679">
        <f t="shared" si="20"/>
        <v>1946130.9480000008</v>
      </c>
      <c r="K44" s="668"/>
      <c r="L44" s="668"/>
      <c r="M44" s="678"/>
      <c r="N44" s="663"/>
      <c r="O44" s="668"/>
      <c r="P44" s="663"/>
      <c r="Q44" s="663"/>
      <c r="R44" s="663"/>
      <c r="S44" s="663"/>
      <c r="T44" s="663"/>
      <c r="U44" s="663"/>
    </row>
    <row r="45" spans="3:21" hidden="1" x14ac:dyDescent="0.25">
      <c r="C45" s="680" t="s">
        <v>51</v>
      </c>
      <c r="D45" s="681">
        <v>1.53</v>
      </c>
      <c r="E45" s="682">
        <f>[1]Datos!K$23*FFM!D45%</f>
        <v>6616845.2232000008</v>
      </c>
      <c r="F45" s="678">
        <f t="shared" si="18"/>
        <v>4631791.6562400004</v>
      </c>
      <c r="G45" s="678">
        <f t="shared" si="16"/>
        <v>607758.33871548274</v>
      </c>
      <c r="H45" s="678">
        <f t="shared" si="17"/>
        <v>7224603.5619154833</v>
      </c>
      <c r="I45" s="678">
        <f t="shared" si="19"/>
        <v>5239549.9949554829</v>
      </c>
      <c r="J45" s="679">
        <f t="shared" si="20"/>
        <v>1985053.5669600004</v>
      </c>
      <c r="K45" s="668"/>
      <c r="L45" s="668"/>
      <c r="M45" s="663"/>
      <c r="N45" s="663"/>
      <c r="O45" s="668"/>
      <c r="P45" s="663"/>
      <c r="Q45" s="663"/>
      <c r="R45" s="663"/>
      <c r="S45" s="663"/>
      <c r="T45" s="663"/>
      <c r="U45" s="663"/>
    </row>
    <row r="46" spans="3:21" hidden="1" x14ac:dyDescent="0.25">
      <c r="C46" s="680" t="s">
        <v>52</v>
      </c>
      <c r="D46" s="681">
        <v>3.16</v>
      </c>
      <c r="E46" s="682">
        <f>[1]Datos!K$23*FFM!D46%</f>
        <v>13666163.990400001</v>
      </c>
      <c r="F46" s="678">
        <f t="shared" si="18"/>
        <v>9566314.7932799999</v>
      </c>
      <c r="G46" s="678">
        <f t="shared" si="16"/>
        <v>2424563.8571249275</v>
      </c>
      <c r="H46" s="678">
        <f t="shared" si="17"/>
        <v>16090727.84752493</v>
      </c>
      <c r="I46" s="678">
        <f t="shared" si="19"/>
        <v>11990878.650404926</v>
      </c>
      <c r="J46" s="679">
        <f t="shared" si="20"/>
        <v>4099849.1971200034</v>
      </c>
      <c r="K46" s="668"/>
      <c r="L46" s="668"/>
      <c r="M46" s="663"/>
      <c r="N46" s="663"/>
      <c r="O46" s="668"/>
      <c r="P46" s="663"/>
      <c r="Q46" s="663"/>
      <c r="R46" s="663"/>
      <c r="S46" s="663"/>
      <c r="T46" s="663"/>
      <c r="U46" s="663"/>
    </row>
    <row r="47" spans="3:21" hidden="1" x14ac:dyDescent="0.25">
      <c r="C47" s="680" t="s">
        <v>53</v>
      </c>
      <c r="D47" s="681">
        <v>2.81</v>
      </c>
      <c r="E47" s="682">
        <f>[1]Datos!K$23*FFM!D47%</f>
        <v>12152506.5864</v>
      </c>
      <c r="F47" s="678">
        <f t="shared" si="18"/>
        <v>8506754.6104799993</v>
      </c>
      <c r="G47" s="678">
        <f t="shared" si="16"/>
        <v>1325479.2965409542</v>
      </c>
      <c r="H47" s="678">
        <f t="shared" si="17"/>
        <v>13477985.882940955</v>
      </c>
      <c r="I47" s="678">
        <f t="shared" si="19"/>
        <v>9832233.9070209526</v>
      </c>
      <c r="J47" s="679">
        <f t="shared" si="20"/>
        <v>3645751.9759200029</v>
      </c>
      <c r="K47" s="668"/>
      <c r="L47" s="668"/>
      <c r="M47" s="663"/>
      <c r="N47" s="663"/>
      <c r="O47" s="668"/>
      <c r="P47" s="663"/>
      <c r="Q47" s="663"/>
      <c r="R47" s="663"/>
      <c r="S47" s="663"/>
      <c r="T47" s="663"/>
      <c r="U47" s="663"/>
    </row>
    <row r="48" spans="3:21" hidden="1" x14ac:dyDescent="0.25">
      <c r="C48" s="680" t="s">
        <v>54</v>
      </c>
      <c r="D48" s="681">
        <v>1.6</v>
      </c>
      <c r="E48" s="682">
        <f>[1]Datos!K$23*FFM!D48%</f>
        <v>6919576.7039999999</v>
      </c>
      <c r="F48" s="678">
        <f t="shared" si="18"/>
        <v>4843703.6927999994</v>
      </c>
      <c r="G48" s="678">
        <f t="shared" si="16"/>
        <v>732356.35992438241</v>
      </c>
      <c r="H48" s="678">
        <f t="shared" si="17"/>
        <v>7651933.0639243824</v>
      </c>
      <c r="I48" s="678">
        <f t="shared" si="19"/>
        <v>5576060.0527243819</v>
      </c>
      <c r="J48" s="679">
        <f t="shared" si="20"/>
        <v>2075873.0112000005</v>
      </c>
      <c r="K48" s="668"/>
      <c r="L48" s="668"/>
      <c r="M48" s="663"/>
      <c r="N48" s="663"/>
      <c r="O48" s="668"/>
      <c r="P48" s="663"/>
      <c r="Q48" s="663"/>
      <c r="R48" s="663"/>
      <c r="S48" s="663"/>
      <c r="T48" s="663"/>
      <c r="U48" s="663"/>
    </row>
    <row r="49" spans="2:21" hidden="1" x14ac:dyDescent="0.25">
      <c r="C49" s="680" t="s">
        <v>55</v>
      </c>
      <c r="D49" s="681">
        <v>2.84</v>
      </c>
      <c r="E49" s="682">
        <f>[1]Datos!K$23*FFM!D49%</f>
        <v>12282248.649599999</v>
      </c>
      <c r="F49" s="678">
        <f t="shared" si="18"/>
        <v>8597574.0547199994</v>
      </c>
      <c r="G49" s="678">
        <f t="shared" si="16"/>
        <v>1850594.8095552234</v>
      </c>
      <c r="H49" s="678">
        <f t="shared" si="17"/>
        <v>14132843.459155222</v>
      </c>
      <c r="I49" s="678">
        <f t="shared" si="19"/>
        <v>10448168.864275223</v>
      </c>
      <c r="J49" s="679">
        <f t="shared" si="20"/>
        <v>3684674.5948799998</v>
      </c>
      <c r="K49" s="668"/>
      <c r="L49" s="668"/>
      <c r="M49" s="663"/>
      <c r="N49" s="663"/>
      <c r="O49" s="668"/>
      <c r="P49" s="663"/>
      <c r="Q49" s="663"/>
      <c r="R49" s="663"/>
      <c r="S49" s="663"/>
      <c r="T49" s="663"/>
      <c r="U49" s="663"/>
    </row>
    <row r="50" spans="2:21" hidden="1" x14ac:dyDescent="0.25">
      <c r="C50" s="680" t="s">
        <v>56</v>
      </c>
      <c r="D50" s="681">
        <v>3.33</v>
      </c>
      <c r="E50" s="682">
        <f>[1]Datos!K$23*FFM!D50%</f>
        <v>14401369.015200002</v>
      </c>
      <c r="F50" s="678">
        <f t="shared" si="18"/>
        <v>10080958.310640002</v>
      </c>
      <c r="G50" s="678">
        <f t="shared" si="16"/>
        <v>1412329.2826300282</v>
      </c>
      <c r="H50" s="678">
        <f t="shared" si="17"/>
        <v>15813698.29783003</v>
      </c>
      <c r="I50" s="678">
        <f t="shared" si="19"/>
        <v>11493287.59327003</v>
      </c>
      <c r="J50" s="679">
        <f t="shared" si="20"/>
        <v>4320410.7045600004</v>
      </c>
      <c r="K50" s="668"/>
      <c r="L50" s="668"/>
      <c r="M50" s="663"/>
      <c r="N50" s="663"/>
      <c r="O50" s="668"/>
      <c r="P50" s="663"/>
      <c r="Q50" s="663"/>
      <c r="R50" s="663"/>
      <c r="S50" s="663"/>
      <c r="T50" s="663"/>
      <c r="U50" s="663"/>
    </row>
    <row r="51" spans="2:21" hidden="1" x14ac:dyDescent="0.25">
      <c r="C51" s="680" t="s">
        <v>57</v>
      </c>
      <c r="D51" s="681">
        <v>4.6900000000000004</v>
      </c>
      <c r="E51" s="682">
        <f>[1]Datos!K$23*FFM!D51%</f>
        <v>20283009.213600002</v>
      </c>
      <c r="F51" s="678">
        <f t="shared" si="18"/>
        <v>14198106.449520001</v>
      </c>
      <c r="G51" s="678">
        <f t="shared" si="16"/>
        <v>2517757.2903494742</v>
      </c>
      <c r="H51" s="678">
        <f t="shared" si="17"/>
        <v>22800766.503949478</v>
      </c>
      <c r="I51" s="678">
        <f t="shared" si="19"/>
        <v>16715863.739869475</v>
      </c>
      <c r="J51" s="679">
        <f t="shared" si="20"/>
        <v>6084902.7640800029</v>
      </c>
      <c r="K51" s="668"/>
      <c r="L51" s="668"/>
      <c r="M51" s="663"/>
      <c r="N51" s="663"/>
      <c r="O51" s="668"/>
      <c r="P51" s="663"/>
      <c r="Q51" s="663"/>
      <c r="R51" s="663"/>
      <c r="S51" s="663"/>
      <c r="T51" s="663"/>
      <c r="U51" s="663"/>
    </row>
    <row r="52" spans="2:21" hidden="1" x14ac:dyDescent="0.25">
      <c r="C52" s="680" t="s">
        <v>58</v>
      </c>
      <c r="D52" s="681">
        <v>2.13</v>
      </c>
      <c r="E52" s="682">
        <f>[1]Datos!K$23*FFM!D52%</f>
        <v>9211686.4871999994</v>
      </c>
      <c r="F52" s="678">
        <f t="shared" si="18"/>
        <v>6448180.5410399996</v>
      </c>
      <c r="G52" s="678">
        <f t="shared" si="16"/>
        <v>550194.57219107798</v>
      </c>
      <c r="H52" s="678">
        <f t="shared" si="17"/>
        <v>9761881.0593910776</v>
      </c>
      <c r="I52" s="678">
        <f t="shared" si="19"/>
        <v>6998375.1132310778</v>
      </c>
      <c r="J52" s="679">
        <f t="shared" si="20"/>
        <v>2763505.9461599998</v>
      </c>
      <c r="K52" s="668"/>
      <c r="L52" s="668"/>
      <c r="M52" s="663"/>
      <c r="N52" s="663"/>
      <c r="O52" s="668"/>
      <c r="P52" s="663"/>
      <c r="Q52" s="663"/>
      <c r="R52" s="663"/>
      <c r="S52" s="663"/>
      <c r="T52" s="663"/>
      <c r="U52" s="663"/>
    </row>
    <row r="53" spans="2:21" hidden="1" x14ac:dyDescent="0.25">
      <c r="C53" s="680" t="s">
        <v>59</v>
      </c>
      <c r="D53" s="681">
        <v>2.81</v>
      </c>
      <c r="E53" s="682">
        <f>[1]Datos!K$23*FFM!D53%</f>
        <v>12152506.5864</v>
      </c>
      <c r="F53" s="678">
        <f t="shared" si="18"/>
        <v>8506754.6104799993</v>
      </c>
      <c r="G53" s="678">
        <f t="shared" si="16"/>
        <v>1538257.5943773086</v>
      </c>
      <c r="H53" s="678">
        <f t="shared" si="17"/>
        <v>13690764.180777309</v>
      </c>
      <c r="I53" s="678">
        <f t="shared" si="19"/>
        <v>10045012.204857308</v>
      </c>
      <c r="J53" s="679">
        <f t="shared" si="20"/>
        <v>3645751.975920001</v>
      </c>
      <c r="K53" s="668"/>
      <c r="L53" s="668"/>
      <c r="M53" s="663"/>
      <c r="N53" s="663"/>
      <c r="O53" s="668"/>
      <c r="P53" s="663"/>
      <c r="Q53" s="663"/>
      <c r="R53" s="663"/>
      <c r="S53" s="663"/>
      <c r="T53" s="663"/>
      <c r="U53" s="663"/>
    </row>
    <row r="54" spans="2:21" hidden="1" x14ac:dyDescent="0.25">
      <c r="C54" s="680" t="s">
        <v>60</v>
      </c>
      <c r="D54" s="681">
        <v>8.34</v>
      </c>
      <c r="E54" s="682">
        <f>[1]Datos!K$23*FFM!D54%</f>
        <v>36068293.569600001</v>
      </c>
      <c r="F54" s="678">
        <f t="shared" si="18"/>
        <v>25247805.498719998</v>
      </c>
      <c r="G54" s="678">
        <f t="shared" si="16"/>
        <v>6108458.6499802163</v>
      </c>
      <c r="H54" s="678">
        <f t="shared" si="17"/>
        <v>42176752.219580218</v>
      </c>
      <c r="I54" s="678">
        <f t="shared" si="19"/>
        <v>31356264.148700215</v>
      </c>
      <c r="J54" s="679">
        <f t="shared" si="20"/>
        <v>10820488.070880003</v>
      </c>
      <c r="K54" s="668"/>
      <c r="L54" s="668"/>
      <c r="M54" s="663"/>
      <c r="N54" s="663"/>
      <c r="O54" s="668"/>
      <c r="P54" s="663"/>
      <c r="Q54" s="663"/>
      <c r="R54" s="663"/>
      <c r="S54" s="663"/>
      <c r="T54" s="663"/>
      <c r="U54" s="663"/>
    </row>
    <row r="55" spans="2:21" hidden="1" x14ac:dyDescent="0.25">
      <c r="C55" s="680" t="s">
        <v>61</v>
      </c>
      <c r="D55" s="681">
        <v>3.5</v>
      </c>
      <c r="E55" s="682">
        <f>[1]Datos!K$23*FFM!D55%</f>
        <v>15136574.040000001</v>
      </c>
      <c r="F55" s="678">
        <f t="shared" si="18"/>
        <v>10595601.828</v>
      </c>
      <c r="G55" s="678">
        <f t="shared" si="16"/>
        <v>2289449.3360926178</v>
      </c>
      <c r="H55" s="678">
        <f t="shared" si="17"/>
        <v>17426023.37609262</v>
      </c>
      <c r="I55" s="678">
        <f t="shared" si="19"/>
        <v>12885051.164092617</v>
      </c>
      <c r="J55" s="679">
        <f t="shared" si="20"/>
        <v>4540972.2120000031</v>
      </c>
      <c r="K55" s="668"/>
      <c r="L55" s="668"/>
      <c r="M55" s="663"/>
      <c r="N55" s="663"/>
      <c r="O55" s="668"/>
      <c r="P55" s="663"/>
      <c r="Q55" s="663"/>
      <c r="R55" s="663"/>
      <c r="S55" s="663"/>
      <c r="T55" s="663"/>
      <c r="U55" s="663"/>
    </row>
    <row r="56" spans="2:21" hidden="1" x14ac:dyDescent="0.25">
      <c r="C56" s="680" t="s">
        <v>62</v>
      </c>
      <c r="D56" s="681">
        <v>39</v>
      </c>
      <c r="E56" s="682">
        <f>[1]Datos!K$23*FFM!D56%</f>
        <v>168664682.16</v>
      </c>
      <c r="F56" s="678">
        <f t="shared" si="18"/>
        <v>118065277.51199999</v>
      </c>
      <c r="G56" s="678">
        <f t="shared" si="16"/>
        <v>41200935.966908559</v>
      </c>
      <c r="H56" s="678">
        <f t="shared" si="17"/>
        <v>209865618.12690854</v>
      </c>
      <c r="I56" s="678">
        <f t="shared" si="19"/>
        <v>159266213.47890854</v>
      </c>
      <c r="J56" s="679">
        <f t="shared" si="20"/>
        <v>50599404.648000002</v>
      </c>
      <c r="K56" s="668"/>
      <c r="L56" s="668"/>
      <c r="M56" s="663"/>
      <c r="N56" s="663"/>
      <c r="O56" s="668"/>
      <c r="P56" s="663"/>
      <c r="Q56" s="663"/>
      <c r="R56" s="663"/>
      <c r="S56" s="663"/>
      <c r="T56" s="663"/>
      <c r="U56" s="663"/>
    </row>
    <row r="57" spans="2:21" hidden="1" x14ac:dyDescent="0.25">
      <c r="C57" s="680" t="s">
        <v>63</v>
      </c>
      <c r="D57" s="681">
        <v>3.79</v>
      </c>
      <c r="E57" s="682">
        <f>[1]Datos!K$23*FFM!D57%</f>
        <v>16390747.317600001</v>
      </c>
      <c r="F57" s="678">
        <f t="shared" si="18"/>
        <v>11473523.12232</v>
      </c>
      <c r="G57" s="678">
        <f t="shared" si="16"/>
        <v>1660563.4646356264</v>
      </c>
      <c r="H57" s="678">
        <f t="shared" si="17"/>
        <v>18051310.782235626</v>
      </c>
      <c r="I57" s="678">
        <f t="shared" si="19"/>
        <v>13134086.586955626</v>
      </c>
      <c r="J57" s="679">
        <f t="shared" si="20"/>
        <v>4917224.1952800006</v>
      </c>
      <c r="K57" s="668"/>
      <c r="L57" s="668"/>
      <c r="M57" s="663"/>
      <c r="N57" s="663"/>
      <c r="O57" s="668"/>
      <c r="P57" s="663"/>
      <c r="Q57" s="663"/>
      <c r="R57" s="663"/>
      <c r="S57" s="663"/>
      <c r="T57" s="663"/>
      <c r="U57" s="663"/>
    </row>
    <row r="58" spans="2:21" hidden="1" x14ac:dyDescent="0.25">
      <c r="C58" s="680" t="s">
        <v>64</v>
      </c>
      <c r="D58" s="681">
        <v>3.1</v>
      </c>
      <c r="E58" s="682">
        <f>[1]Datos!K$23*FFM!D58%</f>
        <v>13406679.864</v>
      </c>
      <c r="F58" s="678">
        <f t="shared" si="18"/>
        <v>9384675.9047999997</v>
      </c>
      <c r="G58" s="678">
        <f t="shared" si="16"/>
        <v>6441656.2480132319</v>
      </c>
      <c r="H58" s="678">
        <f t="shared" si="17"/>
        <v>19848336.112013232</v>
      </c>
      <c r="I58" s="678">
        <f t="shared" si="19"/>
        <v>15826332.152813232</v>
      </c>
      <c r="J58" s="679">
        <f t="shared" si="20"/>
        <v>4022003.9592000004</v>
      </c>
      <c r="K58" s="668"/>
      <c r="L58" s="668"/>
      <c r="M58" s="663"/>
      <c r="N58" s="663"/>
      <c r="O58" s="668"/>
      <c r="P58" s="663"/>
      <c r="Q58" s="663"/>
      <c r="R58" s="663"/>
      <c r="S58" s="663"/>
      <c r="T58" s="663"/>
      <c r="U58" s="663"/>
    </row>
    <row r="59" spans="2:21" hidden="1" x14ac:dyDescent="0.25">
      <c r="C59" s="683" t="s">
        <v>65</v>
      </c>
      <c r="D59" s="684">
        <f>SUM(D39:D58)</f>
        <v>100</v>
      </c>
      <c r="E59" s="685">
        <f>SUM(E39:E58)</f>
        <v>432473544.00000006</v>
      </c>
      <c r="F59" s="685">
        <f t="shared" si="18"/>
        <v>302731480.80000001</v>
      </c>
      <c r="G59" s="685">
        <f t="shared" si="16"/>
        <v>120536040.10000001</v>
      </c>
      <c r="H59" s="685">
        <f t="shared" si="17"/>
        <v>553009584.10000002</v>
      </c>
      <c r="I59" s="685">
        <f>SUM(I39:I58)</f>
        <v>423267520.89999998</v>
      </c>
      <c r="J59" s="686">
        <v>0</v>
      </c>
      <c r="K59" s="668"/>
      <c r="L59" s="668"/>
      <c r="M59" s="663"/>
      <c r="N59" s="663"/>
      <c r="O59" s="668"/>
      <c r="P59" s="663"/>
      <c r="Q59" s="663"/>
      <c r="R59" s="663"/>
      <c r="S59" s="663"/>
      <c r="T59" s="663"/>
      <c r="U59" s="663"/>
    </row>
    <row r="60" spans="2:21" x14ac:dyDescent="0.25">
      <c r="C60" s="1064" t="s">
        <v>374</v>
      </c>
      <c r="D60" s="1064"/>
      <c r="E60" s="1064"/>
      <c r="F60" s="1064"/>
      <c r="G60" s="1064"/>
      <c r="H60" s="1064"/>
      <c r="I60" s="1064"/>
      <c r="J60" s="1064"/>
      <c r="K60" s="1064"/>
      <c r="L60" s="1064"/>
      <c r="M60" s="1064"/>
      <c r="N60" s="1064"/>
      <c r="O60" s="1064"/>
      <c r="P60" s="1064"/>
      <c r="Q60" s="1064"/>
      <c r="R60" s="1064"/>
      <c r="S60" s="1064"/>
      <c r="T60" s="1064"/>
      <c r="U60" s="1064"/>
    </row>
    <row r="61" spans="2:21" ht="15" customHeight="1" x14ac:dyDescent="0.25">
      <c r="C61" s="1065"/>
      <c r="D61" s="1065"/>
      <c r="E61" s="1065"/>
      <c r="F61" s="1065"/>
      <c r="G61" s="1065"/>
      <c r="H61" s="1065"/>
      <c r="I61" s="1065"/>
      <c r="J61" s="1065"/>
      <c r="K61" s="1065"/>
      <c r="L61" s="1065"/>
      <c r="M61" s="1065"/>
      <c r="N61" s="1065"/>
      <c r="O61" s="1065"/>
      <c r="P61" s="1065"/>
      <c r="Q61" s="1065"/>
      <c r="R61" s="1065"/>
      <c r="S61" s="1065"/>
      <c r="T61" s="1065"/>
      <c r="U61" s="1065"/>
    </row>
    <row r="62" spans="2:21" x14ac:dyDescent="0.25">
      <c r="B62" s="480"/>
      <c r="C62" s="482"/>
      <c r="D62" s="483"/>
      <c r="E62" s="482"/>
      <c r="F62" s="482"/>
      <c r="G62" s="482"/>
      <c r="H62" s="484"/>
      <c r="I62" s="482"/>
      <c r="J62" s="482"/>
      <c r="K62" s="484"/>
      <c r="L62" s="484"/>
      <c r="M62" s="482"/>
      <c r="N62" s="482"/>
      <c r="O62" s="484"/>
      <c r="P62" s="482"/>
      <c r="Q62" s="482"/>
    </row>
    <row r="63" spans="2:21" x14ac:dyDescent="0.25">
      <c r="B63" s="480"/>
      <c r="C63" s="482"/>
      <c r="D63" s="483"/>
      <c r="E63" s="482"/>
      <c r="F63" s="482"/>
      <c r="G63" s="482"/>
      <c r="H63" s="484"/>
      <c r="I63" s="482"/>
      <c r="J63" s="482"/>
      <c r="K63" s="484"/>
      <c r="L63" s="484"/>
      <c r="M63" s="482"/>
      <c r="N63" s="482"/>
      <c r="O63" s="484"/>
      <c r="P63" s="482"/>
      <c r="Q63" s="482"/>
    </row>
    <row r="64" spans="2:21" x14ac:dyDescent="0.25">
      <c r="B64" s="480"/>
      <c r="C64" s="479"/>
      <c r="D64" s="481"/>
      <c r="E64" s="479"/>
      <c r="F64" s="479"/>
      <c r="G64" s="479"/>
      <c r="H64" s="478"/>
      <c r="I64" s="479"/>
      <c r="J64" s="479"/>
      <c r="K64" s="478"/>
      <c r="L64" s="478"/>
      <c r="M64" s="479"/>
      <c r="N64" s="479"/>
      <c r="O64" s="478"/>
      <c r="P64" s="479"/>
      <c r="Q64" s="479"/>
    </row>
    <row r="65" spans="2:17" x14ac:dyDescent="0.25">
      <c r="B65" s="480"/>
      <c r="C65" s="479"/>
      <c r="D65" s="481"/>
      <c r="E65" s="479"/>
      <c r="F65" s="479"/>
      <c r="G65" s="479"/>
      <c r="H65" s="478"/>
      <c r="I65" s="479"/>
      <c r="J65" s="479"/>
      <c r="K65" s="478"/>
      <c r="L65" s="478"/>
      <c r="M65" s="479"/>
      <c r="N65" s="479"/>
      <c r="O65" s="478"/>
      <c r="P65" s="479"/>
      <c r="Q65" s="479"/>
    </row>
  </sheetData>
  <mergeCells count="23">
    <mergeCell ref="C60:U60"/>
    <mergeCell ref="C61:U61"/>
    <mergeCell ref="C35:C38"/>
    <mergeCell ref="C3:C7"/>
    <mergeCell ref="D3:E3"/>
    <mergeCell ref="F3:H3"/>
    <mergeCell ref="I4:J4"/>
    <mergeCell ref="D4:D6"/>
    <mergeCell ref="E4:E6"/>
    <mergeCell ref="I3:L3"/>
    <mergeCell ref="B28:C28"/>
    <mergeCell ref="B29:Q29"/>
    <mergeCell ref="C31:Q31"/>
    <mergeCell ref="C32:U32"/>
    <mergeCell ref="C33:U33"/>
    <mergeCell ref="M3:O3"/>
    <mergeCell ref="B1:Q1"/>
    <mergeCell ref="B3:B7"/>
    <mergeCell ref="Q3:Q6"/>
    <mergeCell ref="I5:J5"/>
    <mergeCell ref="M5:N5"/>
    <mergeCell ref="L4:L6"/>
    <mergeCell ref="M4:N4"/>
  </mergeCells>
  <pageMargins left="0.70866141732283472" right="0.70866141732283472" top="0.74803149606299213" bottom="0.74803149606299213" header="0.31496062992125984" footer="0.31496062992125984"/>
  <pageSetup paperSize="5"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29"/>
  <sheetViews>
    <sheetView workbookViewId="0">
      <selection activeCell="F16" sqref="F16"/>
    </sheetView>
  </sheetViews>
  <sheetFormatPr baseColWidth="10" defaultRowHeight="12.75" x14ac:dyDescent="0.2"/>
  <cols>
    <col min="1" max="1" width="16.42578125" style="597" bestFit="1" customWidth="1"/>
    <col min="2" max="2" width="9.140625" style="597" bestFit="1" customWidth="1"/>
    <col min="3" max="3" width="10.85546875" style="597" bestFit="1" customWidth="1"/>
    <col min="4" max="4" width="11.7109375" style="597" bestFit="1" customWidth="1"/>
    <col min="5" max="10" width="10.85546875" style="597" bestFit="1" customWidth="1"/>
    <col min="11" max="11" width="11.5703125" style="597" customWidth="1"/>
    <col min="12" max="12" width="11.28515625" style="597" customWidth="1"/>
    <col min="13" max="14" width="10.85546875" style="597" bestFit="1" customWidth="1"/>
    <col min="15" max="15" width="11.7109375" style="597" bestFit="1" customWidth="1"/>
    <col min="16" max="19" width="11.42578125" style="597"/>
    <col min="20" max="20" width="11.7109375" style="597" bestFit="1" customWidth="1"/>
    <col min="21" max="16384" width="11.42578125" style="597"/>
  </cols>
  <sheetData>
    <row r="1" spans="1:15" ht="15.75" x14ac:dyDescent="0.25">
      <c r="A1" s="1253" t="s">
        <v>277</v>
      </c>
      <c r="B1" s="1253"/>
      <c r="C1" s="1253"/>
      <c r="D1" s="1253"/>
      <c r="E1" s="1253"/>
      <c r="F1" s="1253"/>
      <c r="G1" s="1253"/>
      <c r="H1" s="1253"/>
      <c r="I1" s="1253"/>
      <c r="J1" s="1253"/>
      <c r="K1" s="1253"/>
      <c r="L1" s="1253"/>
      <c r="M1" s="1253"/>
      <c r="N1" s="1253"/>
      <c r="O1" s="1253"/>
    </row>
    <row r="2" spans="1:15" x14ac:dyDescent="0.2">
      <c r="A2" s="1254" t="s">
        <v>278</v>
      </c>
      <c r="B2" s="1254"/>
      <c r="C2" s="1254"/>
      <c r="D2" s="1254"/>
      <c r="E2" s="1254"/>
      <c r="F2" s="1254"/>
      <c r="G2" s="1254"/>
      <c r="H2" s="1254"/>
      <c r="I2" s="1254"/>
      <c r="J2" s="1254"/>
      <c r="K2" s="1254"/>
      <c r="L2" s="1254"/>
      <c r="M2" s="1254"/>
      <c r="N2" s="1254"/>
      <c r="O2" s="1254"/>
    </row>
    <row r="3" spans="1:15" x14ac:dyDescent="0.2">
      <c r="A3" s="1254" t="s">
        <v>279</v>
      </c>
      <c r="B3" s="1254"/>
      <c r="C3" s="1254"/>
      <c r="D3" s="1254"/>
      <c r="E3" s="1254"/>
      <c r="F3" s="1254"/>
      <c r="G3" s="1254"/>
      <c r="H3" s="1254"/>
      <c r="I3" s="1254"/>
      <c r="J3" s="1254"/>
      <c r="K3" s="1254"/>
      <c r="L3" s="1254"/>
      <c r="M3" s="1254"/>
      <c r="N3" s="1254"/>
      <c r="O3" s="1254"/>
    </row>
    <row r="4" spans="1:15" x14ac:dyDescent="0.2">
      <c r="A4" s="1255" t="s">
        <v>361</v>
      </c>
      <c r="B4" s="1255"/>
      <c r="C4" s="1255"/>
      <c r="D4" s="1255"/>
      <c r="E4" s="1255"/>
      <c r="F4" s="1255"/>
      <c r="G4" s="1255"/>
      <c r="H4" s="1255"/>
      <c r="I4" s="1255"/>
      <c r="J4" s="1255"/>
      <c r="K4" s="1255"/>
      <c r="L4" s="1255"/>
      <c r="M4" s="1255"/>
      <c r="N4" s="1255"/>
      <c r="O4" s="1255"/>
    </row>
    <row r="5" spans="1:15" ht="13.5" thickBot="1" x14ac:dyDescent="0.25"/>
    <row r="6" spans="1:15" ht="23.25" thickBot="1" x14ac:dyDescent="0.25">
      <c r="A6" s="624" t="s">
        <v>346</v>
      </c>
      <c r="B6" s="625" t="s">
        <v>281</v>
      </c>
      <c r="C6" s="624" t="s">
        <v>1</v>
      </c>
      <c r="D6" s="626" t="s">
        <v>2</v>
      </c>
      <c r="E6" s="624" t="s">
        <v>3</v>
      </c>
      <c r="F6" s="626" t="s">
        <v>4</v>
      </c>
      <c r="G6" s="624" t="s">
        <v>5</v>
      </c>
      <c r="H6" s="624" t="s">
        <v>6</v>
      </c>
      <c r="I6" s="624" t="s">
        <v>7</v>
      </c>
      <c r="J6" s="626" t="s">
        <v>8</v>
      </c>
      <c r="K6" s="624" t="s">
        <v>9</v>
      </c>
      <c r="L6" s="626" t="s">
        <v>10</v>
      </c>
      <c r="M6" s="624" t="s">
        <v>11</v>
      </c>
      <c r="N6" s="624" t="s">
        <v>12</v>
      </c>
      <c r="O6" s="627" t="s">
        <v>168</v>
      </c>
    </row>
    <row r="7" spans="1:15" x14ac:dyDescent="0.2">
      <c r="A7" s="602" t="s">
        <v>282</v>
      </c>
      <c r="B7" s="622">
        <v>3.6200000000000003E-2</v>
      </c>
      <c r="C7" s="629">
        <v>2878623.4198950008</v>
      </c>
      <c r="D7" s="630">
        <v>3381300.9729450005</v>
      </c>
      <c r="E7" s="629">
        <v>2809531.1197800003</v>
      </c>
      <c r="F7" s="630">
        <v>3098355.9393150005</v>
      </c>
      <c r="G7" s="629">
        <v>2623805.8405650002</v>
      </c>
      <c r="H7" s="629">
        <v>2518492.8964950005</v>
      </c>
      <c r="I7" s="631">
        <v>3139518.9529800005</v>
      </c>
      <c r="J7" s="630">
        <v>2702840.8887900002</v>
      </c>
      <c r="K7" s="629">
        <v>3012274.8552150005</v>
      </c>
      <c r="L7" s="630">
        <v>3455303.2989750002</v>
      </c>
      <c r="M7" s="629">
        <v>2701980.4509900003</v>
      </c>
      <c r="N7" s="629">
        <v>3028285.5468750005</v>
      </c>
      <c r="O7" s="632">
        <f>SUM(C7:N7)</f>
        <v>35350314.182820007</v>
      </c>
    </row>
    <row r="8" spans="1:15" x14ac:dyDescent="0.2">
      <c r="A8" s="602" t="s">
        <v>147</v>
      </c>
      <c r="B8" s="622">
        <v>2.47E-2</v>
      </c>
      <c r="C8" s="629">
        <v>1964143.6041825002</v>
      </c>
      <c r="D8" s="630">
        <v>2307130.7743575</v>
      </c>
      <c r="E8" s="629">
        <v>1917000.5154300001</v>
      </c>
      <c r="F8" s="630">
        <v>2114071.5939525003</v>
      </c>
      <c r="G8" s="629">
        <v>1790276.3608275</v>
      </c>
      <c r="H8" s="629">
        <v>1718419.1862825002</v>
      </c>
      <c r="I8" s="629">
        <v>2142157.9596299999</v>
      </c>
      <c r="J8" s="630">
        <v>1844203.589865</v>
      </c>
      <c r="K8" s="629">
        <v>2055336.7106025</v>
      </c>
      <c r="L8" s="630">
        <v>2357624.0741625</v>
      </c>
      <c r="M8" s="629">
        <v>1843616.495565</v>
      </c>
      <c r="N8" s="629">
        <v>2066261.1328125</v>
      </c>
      <c r="O8" s="632">
        <f t="shared" ref="O8:O26" si="0">SUM(C8:N8)</f>
        <v>24120241.997669999</v>
      </c>
    </row>
    <row r="9" spans="1:15" x14ac:dyDescent="0.2">
      <c r="A9" s="602" t="s">
        <v>148</v>
      </c>
      <c r="B9" s="622">
        <v>2.3300000000000001E-2</v>
      </c>
      <c r="C9" s="629">
        <v>1852815.6266175003</v>
      </c>
      <c r="D9" s="630">
        <v>2176362.2284425003</v>
      </c>
      <c r="E9" s="629">
        <v>1808344.6157700003</v>
      </c>
      <c r="F9" s="630">
        <v>1994245.6736475001</v>
      </c>
      <c r="G9" s="629">
        <v>1688803.2067725002</v>
      </c>
      <c r="H9" s="629">
        <v>1621018.9085175004</v>
      </c>
      <c r="I9" s="629">
        <v>2020740.0995700003</v>
      </c>
      <c r="J9" s="630">
        <v>1739673.8317350002</v>
      </c>
      <c r="K9" s="629">
        <v>1938839.8929975003</v>
      </c>
      <c r="L9" s="630">
        <v>2223993.5598375001</v>
      </c>
      <c r="M9" s="629">
        <v>1739120.0140350002</v>
      </c>
      <c r="N9" s="629">
        <v>1949145.1171875</v>
      </c>
      <c r="O9" s="632">
        <f t="shared" si="0"/>
        <v>22753102.775130007</v>
      </c>
    </row>
    <row r="10" spans="1:15" x14ac:dyDescent="0.2">
      <c r="A10" s="602" t="s">
        <v>283</v>
      </c>
      <c r="B10" s="622">
        <v>2.81E-2</v>
      </c>
      <c r="C10" s="629">
        <v>2234511.5496975002</v>
      </c>
      <c r="D10" s="630">
        <v>2624711.5287225004</v>
      </c>
      <c r="E10" s="629">
        <v>2180879.1288900003</v>
      </c>
      <c r="F10" s="630">
        <v>2405077.4004075001</v>
      </c>
      <c r="G10" s="629">
        <v>2036711.1635325002</v>
      </c>
      <c r="H10" s="629">
        <v>1954962.7179975002</v>
      </c>
      <c r="I10" s="629">
        <v>2437029.9054900003</v>
      </c>
      <c r="J10" s="630">
        <v>2098061.5738949999</v>
      </c>
      <c r="K10" s="629">
        <v>2338257.5533575001</v>
      </c>
      <c r="L10" s="630">
        <v>2682155.3232375002</v>
      </c>
      <c r="M10" s="629">
        <v>2097393.6649950002</v>
      </c>
      <c r="N10" s="629">
        <v>2350685.7421875</v>
      </c>
      <c r="O10" s="632">
        <f t="shared" si="0"/>
        <v>27440437.252410006</v>
      </c>
    </row>
    <row r="11" spans="1:15" x14ac:dyDescent="0.2">
      <c r="A11" s="602" t="s">
        <v>150</v>
      </c>
      <c r="B11" s="622">
        <v>4.6399999999999997E-2</v>
      </c>
      <c r="C11" s="629">
        <v>3689727.2564400001</v>
      </c>
      <c r="D11" s="630">
        <v>4334043.2360399999</v>
      </c>
      <c r="E11" s="629">
        <v>3601166.9601600002</v>
      </c>
      <c r="F11" s="630">
        <v>3971373.3586800001</v>
      </c>
      <c r="G11" s="629">
        <v>3363110.2486799997</v>
      </c>
      <c r="H11" s="629">
        <v>3228123.4916400001</v>
      </c>
      <c r="I11" s="629">
        <v>4024134.7905600001</v>
      </c>
      <c r="J11" s="630">
        <v>3464414.84088</v>
      </c>
      <c r="K11" s="629">
        <v>3861037.3834799998</v>
      </c>
      <c r="L11" s="630">
        <v>4428897.0461999997</v>
      </c>
      <c r="M11" s="629">
        <v>3463311.9592800001</v>
      </c>
      <c r="N11" s="629">
        <v>3881559.3749999995</v>
      </c>
      <c r="O11" s="632">
        <f t="shared" si="0"/>
        <v>45310899.947040007</v>
      </c>
    </row>
    <row r="12" spans="1:15" x14ac:dyDescent="0.2">
      <c r="A12" s="602" t="s">
        <v>284</v>
      </c>
      <c r="B12" s="622">
        <v>1.4999999999999999E-2</v>
      </c>
      <c r="C12" s="629">
        <v>1192799.7596250002</v>
      </c>
      <c r="D12" s="630">
        <v>1401091.5633750001</v>
      </c>
      <c r="E12" s="629">
        <v>1164170.3535</v>
      </c>
      <c r="F12" s="630">
        <v>1283849.146125</v>
      </c>
      <c r="G12" s="629">
        <v>1087212.364875</v>
      </c>
      <c r="H12" s="629">
        <v>1043574.4046250001</v>
      </c>
      <c r="I12" s="629">
        <v>1300905.6435</v>
      </c>
      <c r="J12" s="630">
        <v>1119961.6942499999</v>
      </c>
      <c r="K12" s="629">
        <v>1248180.188625</v>
      </c>
      <c r="L12" s="630">
        <v>1431755.5106249999</v>
      </c>
      <c r="M12" s="629">
        <v>1119605.15925</v>
      </c>
      <c r="N12" s="629">
        <v>1254814.453125</v>
      </c>
      <c r="O12" s="632">
        <f t="shared" si="0"/>
        <v>14647920.241500001</v>
      </c>
    </row>
    <row r="13" spans="1:15" x14ac:dyDescent="0.2">
      <c r="A13" s="602" t="s">
        <v>152</v>
      </c>
      <c r="B13" s="622">
        <v>1.5299999999999999E-2</v>
      </c>
      <c r="C13" s="629">
        <v>1216655.7548175</v>
      </c>
      <c r="D13" s="630">
        <v>1429113.3946425</v>
      </c>
      <c r="E13" s="629">
        <v>1187453.7605699999</v>
      </c>
      <c r="F13" s="630">
        <v>1309526.1290475</v>
      </c>
      <c r="G13" s="629">
        <v>1108956.6121725</v>
      </c>
      <c r="H13" s="629">
        <v>1064445.8927175</v>
      </c>
      <c r="I13" s="629">
        <v>1326923.7563700001</v>
      </c>
      <c r="J13" s="630">
        <v>1142360.9281349999</v>
      </c>
      <c r="K13" s="629">
        <v>1273143.7923975</v>
      </c>
      <c r="L13" s="630">
        <v>1460390.6208374999</v>
      </c>
      <c r="M13" s="629">
        <v>1141997.2624349999</v>
      </c>
      <c r="N13" s="629">
        <v>1279910.7421875</v>
      </c>
      <c r="O13" s="632">
        <f t="shared" si="0"/>
        <v>14940878.646330001</v>
      </c>
    </row>
    <row r="14" spans="1:15" x14ac:dyDescent="0.2">
      <c r="A14" s="602" t="s">
        <v>153</v>
      </c>
      <c r="B14" s="622">
        <v>3.1600000000000003E-2</v>
      </c>
      <c r="C14" s="629">
        <v>2512831.4936100007</v>
      </c>
      <c r="D14" s="630">
        <v>2951632.8935100008</v>
      </c>
      <c r="E14" s="629">
        <v>2452518.8780400003</v>
      </c>
      <c r="F14" s="630">
        <v>2704642.2011700002</v>
      </c>
      <c r="G14" s="629">
        <v>2290394.0486700004</v>
      </c>
      <c r="H14" s="629">
        <v>2198463.4124100003</v>
      </c>
      <c r="I14" s="629">
        <v>2740574.5556400004</v>
      </c>
      <c r="J14" s="630">
        <v>2359385.9692200003</v>
      </c>
      <c r="K14" s="629">
        <v>2629499.5973700006</v>
      </c>
      <c r="L14" s="630">
        <v>3016231.6090500001</v>
      </c>
      <c r="M14" s="629">
        <v>2358634.8688200004</v>
      </c>
      <c r="N14" s="629">
        <v>2643475.7812500005</v>
      </c>
      <c r="O14" s="632">
        <f t="shared" si="0"/>
        <v>30858285.308760006</v>
      </c>
    </row>
    <row r="15" spans="1:15" x14ac:dyDescent="0.2">
      <c r="A15" s="602" t="s">
        <v>154</v>
      </c>
      <c r="B15" s="622">
        <v>2.81E-2</v>
      </c>
      <c r="C15" s="629">
        <v>2234511.5496975002</v>
      </c>
      <c r="D15" s="630">
        <v>2624711.5287225004</v>
      </c>
      <c r="E15" s="629">
        <v>2180879.1288900003</v>
      </c>
      <c r="F15" s="630">
        <v>2405077.4004075001</v>
      </c>
      <c r="G15" s="629">
        <v>2036711.1635325002</v>
      </c>
      <c r="H15" s="629">
        <v>1954962.7179975002</v>
      </c>
      <c r="I15" s="629">
        <v>2437029.9054900003</v>
      </c>
      <c r="J15" s="630">
        <v>2098061.5738949999</v>
      </c>
      <c r="K15" s="629">
        <v>2338257.5533575001</v>
      </c>
      <c r="L15" s="630">
        <v>2682155.3232375002</v>
      </c>
      <c r="M15" s="629">
        <v>2097393.6649950002</v>
      </c>
      <c r="N15" s="629">
        <v>2350685.7421875</v>
      </c>
      <c r="O15" s="632">
        <f t="shared" si="0"/>
        <v>27440437.252410006</v>
      </c>
    </row>
    <row r="16" spans="1:15" x14ac:dyDescent="0.2">
      <c r="A16" s="602" t="s">
        <v>155</v>
      </c>
      <c r="B16" s="622">
        <v>1.6E-2</v>
      </c>
      <c r="C16" s="629">
        <v>1272319.7436000002</v>
      </c>
      <c r="D16" s="630">
        <v>1494497.6676000003</v>
      </c>
      <c r="E16" s="629">
        <v>1241781.7104000002</v>
      </c>
      <c r="F16" s="630">
        <v>1369439.0892</v>
      </c>
      <c r="G16" s="629">
        <v>1159693.1892000001</v>
      </c>
      <c r="H16" s="629">
        <v>1113146.0316000001</v>
      </c>
      <c r="I16" s="629">
        <v>1387632.6864000002</v>
      </c>
      <c r="J16" s="630">
        <v>1194625.8072000002</v>
      </c>
      <c r="K16" s="629">
        <v>1331392.2012</v>
      </c>
      <c r="L16" s="630">
        <v>1527205.878</v>
      </c>
      <c r="M16" s="629">
        <v>1194245.5032000002</v>
      </c>
      <c r="N16" s="629">
        <v>1338468.75</v>
      </c>
      <c r="O16" s="632">
        <f t="shared" si="0"/>
        <v>15624448.257600002</v>
      </c>
    </row>
    <row r="17" spans="1:20" x14ac:dyDescent="0.2">
      <c r="A17" s="602" t="s">
        <v>156</v>
      </c>
      <c r="B17" s="622">
        <v>2.8400000000000002E-2</v>
      </c>
      <c r="C17" s="629">
        <v>2258367.5448900005</v>
      </c>
      <c r="D17" s="630">
        <v>2652733.3599900003</v>
      </c>
      <c r="E17" s="629">
        <v>2204162.5359600005</v>
      </c>
      <c r="F17" s="630">
        <v>2430754.3833300001</v>
      </c>
      <c r="G17" s="629">
        <v>2058455.4108300002</v>
      </c>
      <c r="H17" s="629">
        <v>1975834.2060900005</v>
      </c>
      <c r="I17" s="629">
        <v>2463048.0183600001</v>
      </c>
      <c r="J17" s="630">
        <v>2120460.8077800004</v>
      </c>
      <c r="K17" s="629">
        <v>2363221.1571300002</v>
      </c>
      <c r="L17" s="630">
        <v>2710790.4334500004</v>
      </c>
      <c r="M17" s="629">
        <v>2119785.7681800001</v>
      </c>
      <c r="N17" s="629">
        <v>2375782.03125</v>
      </c>
      <c r="O17" s="632">
        <f t="shared" si="0"/>
        <v>27733395.657240007</v>
      </c>
    </row>
    <row r="18" spans="1:20" x14ac:dyDescent="0.2">
      <c r="A18" s="602" t="s">
        <v>157</v>
      </c>
      <c r="B18" s="622">
        <v>3.3300000000000003E-2</v>
      </c>
      <c r="C18" s="629">
        <v>2648015.4663675004</v>
      </c>
      <c r="D18" s="630">
        <v>3110423.2706925008</v>
      </c>
      <c r="E18" s="629">
        <v>2584458.1847700006</v>
      </c>
      <c r="F18" s="630">
        <v>2850145.1043975004</v>
      </c>
      <c r="G18" s="629">
        <v>2413611.4500225005</v>
      </c>
      <c r="H18" s="629">
        <v>2316735.1782675004</v>
      </c>
      <c r="I18" s="629">
        <v>2888010.5285700005</v>
      </c>
      <c r="J18" s="630">
        <v>2486314.9612350003</v>
      </c>
      <c r="K18" s="629">
        <v>2770960.0187475001</v>
      </c>
      <c r="L18" s="630">
        <v>3178497.2335875002</v>
      </c>
      <c r="M18" s="629">
        <v>2485523.4535350003</v>
      </c>
      <c r="N18" s="629">
        <v>2785688.0859375005</v>
      </c>
      <c r="O18" s="632">
        <f t="shared" si="0"/>
        <v>32518382.936130006</v>
      </c>
    </row>
    <row r="19" spans="1:20" x14ac:dyDescent="0.2">
      <c r="A19" s="602" t="s">
        <v>158</v>
      </c>
      <c r="B19" s="622">
        <v>4.6899999999999997E-2</v>
      </c>
      <c r="C19" s="629">
        <v>3729487.2484275</v>
      </c>
      <c r="D19" s="630">
        <v>4380746.2881525001</v>
      </c>
      <c r="E19" s="629">
        <v>3639972.6386100003</v>
      </c>
      <c r="F19" s="630">
        <v>4014168.3302174998</v>
      </c>
      <c r="G19" s="629">
        <v>3399350.6608425002</v>
      </c>
      <c r="H19" s="629">
        <v>3262909.3051275001</v>
      </c>
      <c r="I19" s="629">
        <v>4067498.31201</v>
      </c>
      <c r="J19" s="630">
        <v>3501746.897355</v>
      </c>
      <c r="K19" s="629">
        <v>3902643.3897675001</v>
      </c>
      <c r="L19" s="630">
        <v>4476622.2298874995</v>
      </c>
      <c r="M19" s="629">
        <v>3500632.1312549999</v>
      </c>
      <c r="N19" s="629">
        <v>3923386.5234375</v>
      </c>
      <c r="O19" s="632">
        <f t="shared" si="0"/>
        <v>45799163.955090001</v>
      </c>
    </row>
    <row r="20" spans="1:20" x14ac:dyDescent="0.2">
      <c r="A20" s="602" t="s">
        <v>285</v>
      </c>
      <c r="B20" s="622">
        <v>2.1299999999999999E-2</v>
      </c>
      <c r="C20" s="629">
        <v>1693775.6586675001</v>
      </c>
      <c r="D20" s="630">
        <v>1989550.0199925001</v>
      </c>
      <c r="E20" s="629">
        <v>1653121.90197</v>
      </c>
      <c r="F20" s="630">
        <v>1823065.7874975</v>
      </c>
      <c r="G20" s="629">
        <v>1543841.5581225001</v>
      </c>
      <c r="H20" s="629">
        <v>1481875.6545675001</v>
      </c>
      <c r="I20" s="629">
        <v>1847286.0137700001</v>
      </c>
      <c r="J20" s="630">
        <v>1590345.6058350001</v>
      </c>
      <c r="K20" s="629">
        <v>1772415.8678475001</v>
      </c>
      <c r="L20" s="630">
        <v>2033092.8250875</v>
      </c>
      <c r="M20" s="629">
        <v>1589839.326135</v>
      </c>
      <c r="N20" s="629">
        <v>1781836.5234375</v>
      </c>
      <c r="O20" s="632">
        <f t="shared" si="0"/>
        <v>20800046.742929999</v>
      </c>
    </row>
    <row r="21" spans="1:20" x14ac:dyDescent="0.2">
      <c r="A21" s="602" t="s">
        <v>286</v>
      </c>
      <c r="B21" s="622">
        <v>2.81E-2</v>
      </c>
      <c r="C21" s="629">
        <v>2234511.5496975002</v>
      </c>
      <c r="D21" s="630">
        <v>2624711.5287225004</v>
      </c>
      <c r="E21" s="629">
        <v>2180879.1288900003</v>
      </c>
      <c r="F21" s="630">
        <v>2405077.4004075001</v>
      </c>
      <c r="G21" s="629">
        <v>2036711.1635325002</v>
      </c>
      <c r="H21" s="629">
        <v>1954962.7179975002</v>
      </c>
      <c r="I21" s="629">
        <v>2437029.9054900003</v>
      </c>
      <c r="J21" s="630">
        <v>2098061.5738949999</v>
      </c>
      <c r="K21" s="629">
        <v>2338257.5533575001</v>
      </c>
      <c r="L21" s="630">
        <v>2682155.3232375002</v>
      </c>
      <c r="M21" s="629">
        <v>2097393.6649950002</v>
      </c>
      <c r="N21" s="629">
        <v>2350685.7421875</v>
      </c>
      <c r="O21" s="632">
        <f t="shared" si="0"/>
        <v>27440437.252410006</v>
      </c>
    </row>
    <row r="22" spans="1:20" x14ac:dyDescent="0.2">
      <c r="A22" s="602" t="s">
        <v>287</v>
      </c>
      <c r="B22" s="622">
        <v>8.3400000000000002E-2</v>
      </c>
      <c r="C22" s="629">
        <v>6631966.6635150006</v>
      </c>
      <c r="D22" s="630">
        <v>7790069.0923650013</v>
      </c>
      <c r="E22" s="629">
        <v>6472787.1654600007</v>
      </c>
      <c r="F22" s="630">
        <v>7138201.2524550008</v>
      </c>
      <c r="G22" s="629">
        <v>6044900.7487050006</v>
      </c>
      <c r="H22" s="629">
        <v>5802273.6897150008</v>
      </c>
      <c r="I22" s="629">
        <v>7233035.3778600004</v>
      </c>
      <c r="J22" s="630">
        <v>6226987.0200300002</v>
      </c>
      <c r="K22" s="629">
        <v>6939881.8487550002</v>
      </c>
      <c r="L22" s="630">
        <v>7960560.6390749998</v>
      </c>
      <c r="M22" s="629">
        <v>6225004.6854300005</v>
      </c>
      <c r="N22" s="629">
        <v>6976768.359375</v>
      </c>
      <c r="O22" s="632">
        <f t="shared" si="0"/>
        <v>81442436.542740017</v>
      </c>
    </row>
    <row r="23" spans="1:20" x14ac:dyDescent="0.2">
      <c r="A23" s="602" t="s">
        <v>162</v>
      </c>
      <c r="B23" s="622">
        <v>3.5000000000000003E-2</v>
      </c>
      <c r="C23" s="629">
        <v>2783199.4391250005</v>
      </c>
      <c r="D23" s="630">
        <v>3269213.6478750007</v>
      </c>
      <c r="E23" s="629">
        <v>2716397.4915000005</v>
      </c>
      <c r="F23" s="630">
        <v>2995648.0076250006</v>
      </c>
      <c r="G23" s="629">
        <v>2536828.8513750006</v>
      </c>
      <c r="H23" s="629">
        <v>2435006.9441250004</v>
      </c>
      <c r="I23" s="629">
        <v>3035446.5015000007</v>
      </c>
      <c r="J23" s="630">
        <v>2613243.9532500003</v>
      </c>
      <c r="K23" s="629">
        <v>2912420.4401250002</v>
      </c>
      <c r="L23" s="630">
        <v>3340762.8581250003</v>
      </c>
      <c r="M23" s="629">
        <v>2612412.0382500002</v>
      </c>
      <c r="N23" s="629">
        <v>2927900.3906250005</v>
      </c>
      <c r="O23" s="632">
        <f t="shared" si="0"/>
        <v>34178480.563500009</v>
      </c>
    </row>
    <row r="24" spans="1:20" x14ac:dyDescent="0.2">
      <c r="A24" s="602" t="s">
        <v>163</v>
      </c>
      <c r="B24" s="622">
        <v>0.39</v>
      </c>
      <c r="C24" s="629">
        <v>31012793.750250004</v>
      </c>
      <c r="D24" s="630">
        <v>36428380.647750005</v>
      </c>
      <c r="E24" s="629">
        <v>30268429.191000003</v>
      </c>
      <c r="F24" s="630">
        <v>33380077.799250003</v>
      </c>
      <c r="G24" s="629">
        <v>28267521.486750003</v>
      </c>
      <c r="H24" s="629">
        <v>27132934.520250004</v>
      </c>
      <c r="I24" s="629">
        <v>33823546.731000006</v>
      </c>
      <c r="J24" s="630">
        <v>29119004.050500002</v>
      </c>
      <c r="K24" s="629">
        <v>32452684.904250003</v>
      </c>
      <c r="L24" s="630">
        <v>37225643.276250005</v>
      </c>
      <c r="M24" s="629">
        <v>29109734.140500002</v>
      </c>
      <c r="N24" s="629">
        <v>32625175.78125</v>
      </c>
      <c r="O24" s="632">
        <f t="shared" si="0"/>
        <v>380845926.27900004</v>
      </c>
      <c r="T24" s="606"/>
    </row>
    <row r="25" spans="1:20" x14ac:dyDescent="0.2">
      <c r="A25" s="602" t="s">
        <v>164</v>
      </c>
      <c r="B25" s="622">
        <v>3.7900000000000003E-2</v>
      </c>
      <c r="C25" s="629">
        <v>3013807.3926525004</v>
      </c>
      <c r="D25" s="630">
        <v>3540091.3501275005</v>
      </c>
      <c r="E25" s="629">
        <v>2941470.4265100006</v>
      </c>
      <c r="F25" s="630">
        <v>3243858.8425425002</v>
      </c>
      <c r="G25" s="629">
        <v>2747023.2419175003</v>
      </c>
      <c r="H25" s="629">
        <v>2636764.6623525005</v>
      </c>
      <c r="I25" s="629">
        <v>3286954.9259100007</v>
      </c>
      <c r="J25" s="630">
        <v>2829769.8808050002</v>
      </c>
      <c r="K25" s="629">
        <v>3153735.2765925005</v>
      </c>
      <c r="L25" s="630">
        <v>3617568.9235125002</v>
      </c>
      <c r="M25" s="629">
        <v>2828869.0357050002</v>
      </c>
      <c r="N25" s="629">
        <v>3170497.8515625005</v>
      </c>
      <c r="O25" s="632">
        <f t="shared" si="0"/>
        <v>37010411.810190007</v>
      </c>
      <c r="T25" s="606"/>
    </row>
    <row r="26" spans="1:20" ht="13.5" thickBot="1" x14ac:dyDescent="0.25">
      <c r="A26" s="602" t="s">
        <v>165</v>
      </c>
      <c r="B26" s="622">
        <v>3.1E-2</v>
      </c>
      <c r="C26" s="629">
        <v>2465119.5032250001</v>
      </c>
      <c r="D26" s="630">
        <v>2895589.2309750002</v>
      </c>
      <c r="E26" s="629">
        <v>2405952.0639</v>
      </c>
      <c r="F26" s="630">
        <v>2653288.2353250002</v>
      </c>
      <c r="G26" s="629">
        <v>2246905.5540749999</v>
      </c>
      <c r="H26" s="629">
        <v>2156720.4362250003</v>
      </c>
      <c r="I26" s="635">
        <v>2688538.3299000002</v>
      </c>
      <c r="J26" s="630">
        <v>2314587.5014499999</v>
      </c>
      <c r="K26" s="629">
        <v>2579572.389825</v>
      </c>
      <c r="L26" s="630">
        <v>2958961.3886250001</v>
      </c>
      <c r="M26" s="629">
        <v>2313850.6624500002</v>
      </c>
      <c r="N26" s="629">
        <v>2593283.203125</v>
      </c>
      <c r="O26" s="632">
        <f t="shared" si="0"/>
        <v>30272368.4991</v>
      </c>
      <c r="T26" s="606"/>
    </row>
    <row r="27" spans="1:20" ht="13.5" thickBot="1" x14ac:dyDescent="0.25">
      <c r="A27" s="607" t="s">
        <v>288</v>
      </c>
      <c r="B27" s="623">
        <f>SUM(B7:B26)</f>
        <v>1</v>
      </c>
      <c r="C27" s="637">
        <f>SUM(C7:C26)</f>
        <v>79519983.975000009</v>
      </c>
      <c r="D27" s="637">
        <f t="shared" ref="D27:N27" si="1">SUM(D7:D26)</f>
        <v>93406104.225000024</v>
      </c>
      <c r="E27" s="637">
        <f t="shared" si="1"/>
        <v>77611356.900000006</v>
      </c>
      <c r="F27" s="637">
        <f t="shared" si="1"/>
        <v>85589943.075000003</v>
      </c>
      <c r="G27" s="637">
        <f t="shared" si="1"/>
        <v>72480824.325000003</v>
      </c>
      <c r="H27" s="637">
        <f t="shared" si="1"/>
        <v>69571626.975000009</v>
      </c>
      <c r="I27" s="637">
        <f t="shared" si="1"/>
        <v>86727042.900000006</v>
      </c>
      <c r="J27" s="637">
        <f t="shared" si="1"/>
        <v>74664112.950000003</v>
      </c>
      <c r="K27" s="637">
        <f t="shared" si="1"/>
        <v>83212012.575000003</v>
      </c>
      <c r="L27" s="637">
        <f t="shared" si="1"/>
        <v>95450367.375</v>
      </c>
      <c r="M27" s="637">
        <f t="shared" si="1"/>
        <v>74640343.950000003</v>
      </c>
      <c r="N27" s="637">
        <f t="shared" si="1"/>
        <v>83654296.875</v>
      </c>
      <c r="O27" s="637">
        <f>SUM(C27:N27)</f>
        <v>976528016.10000026</v>
      </c>
      <c r="T27" s="606"/>
    </row>
    <row r="28" spans="1:20" x14ac:dyDescent="0.2">
      <c r="A28" s="610"/>
      <c r="B28" s="610"/>
      <c r="C28" s="610"/>
      <c r="D28" s="610"/>
      <c r="E28" s="610"/>
      <c r="F28" s="610"/>
      <c r="G28" s="610"/>
      <c r="H28" s="610"/>
      <c r="I28" s="610"/>
      <c r="J28" s="610"/>
      <c r="K28" s="610"/>
      <c r="L28" s="610"/>
      <c r="M28" s="610"/>
      <c r="N28" s="610"/>
      <c r="O28" s="610"/>
      <c r="T28" s="606"/>
    </row>
    <row r="29" spans="1:20" x14ac:dyDescent="0.2">
      <c r="A29" s="611" t="s">
        <v>289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9" tint="0.39997558519241921"/>
  </sheetPr>
  <dimension ref="A1:T26"/>
  <sheetViews>
    <sheetView workbookViewId="0">
      <selection activeCell="I12" sqref="I12:K12"/>
    </sheetView>
  </sheetViews>
  <sheetFormatPr baseColWidth="10" defaultRowHeight="12.75" x14ac:dyDescent="0.2"/>
  <cols>
    <col min="1" max="1" width="16.42578125" style="597" bestFit="1" customWidth="1"/>
    <col min="2" max="2" width="9.140625" style="597" hidden="1" customWidth="1"/>
    <col min="3" max="10" width="9.5703125" style="597" bestFit="1" customWidth="1"/>
    <col min="11" max="11" width="9.7109375" style="597" bestFit="1" customWidth="1"/>
    <col min="12" max="14" width="9.5703125" style="597" bestFit="1" customWidth="1"/>
    <col min="15" max="15" width="10.85546875" style="597" bestFit="1" customWidth="1"/>
    <col min="16" max="16" width="12.7109375" style="597" bestFit="1" customWidth="1"/>
    <col min="17" max="19" width="11.42578125" style="597"/>
    <col min="20" max="20" width="11.7109375" style="597" bestFit="1" customWidth="1"/>
    <col min="21" max="16384" width="11.42578125" style="597"/>
  </cols>
  <sheetData>
    <row r="1" spans="1:17" x14ac:dyDescent="0.2">
      <c r="A1" s="1255" t="s">
        <v>379</v>
      </c>
      <c r="B1" s="1255"/>
      <c r="C1" s="1255"/>
      <c r="D1" s="1255"/>
      <c r="E1" s="1255"/>
      <c r="F1" s="1255"/>
      <c r="G1" s="1255"/>
      <c r="H1" s="1255"/>
      <c r="I1" s="1255"/>
      <c r="J1" s="1255"/>
      <c r="K1" s="1255"/>
      <c r="L1" s="1255"/>
      <c r="M1" s="1255"/>
      <c r="N1" s="1255"/>
      <c r="O1" s="1255"/>
    </row>
    <row r="2" spans="1:17" ht="13.5" thickBot="1" x14ac:dyDescent="0.25"/>
    <row r="3" spans="1:17" ht="23.25" thickBot="1" x14ac:dyDescent="0.25">
      <c r="A3" s="624" t="s">
        <v>346</v>
      </c>
      <c r="B3" s="625" t="s">
        <v>281</v>
      </c>
      <c r="C3" s="624" t="s">
        <v>1</v>
      </c>
      <c r="D3" s="626" t="s">
        <v>2</v>
      </c>
      <c r="E3" s="624" t="s">
        <v>3</v>
      </c>
      <c r="F3" s="626" t="s">
        <v>4</v>
      </c>
      <c r="G3" s="624" t="s">
        <v>5</v>
      </c>
      <c r="H3" s="624" t="s">
        <v>6</v>
      </c>
      <c r="I3" s="624" t="s">
        <v>7</v>
      </c>
      <c r="J3" s="626" t="s">
        <v>8</v>
      </c>
      <c r="K3" s="624" t="s">
        <v>9</v>
      </c>
      <c r="L3" s="626" t="s">
        <v>10</v>
      </c>
      <c r="M3" s="624" t="s">
        <v>11</v>
      </c>
      <c r="N3" s="624" t="s">
        <v>12</v>
      </c>
      <c r="O3" s="627" t="s">
        <v>168</v>
      </c>
    </row>
    <row r="4" spans="1:17" x14ac:dyDescent="0.2">
      <c r="A4" s="602" t="s">
        <v>282</v>
      </c>
      <c r="B4" s="622"/>
      <c r="C4" s="604">
        <f>F.G.P.INCREMENTO!C7</f>
        <v>2175266.3302720417</v>
      </c>
      <c r="D4" s="604">
        <f>F.G.P.INCREMENTO!D7</f>
        <v>3801470.0906144544</v>
      </c>
      <c r="E4" s="604">
        <f>F.G.P.INCREMENTO!E7</f>
        <v>1647065.7790945182</v>
      </c>
      <c r="F4" s="604">
        <f>F.G.P.INCREMENTO!F7</f>
        <v>2626557.0646970375</v>
      </c>
      <c r="G4" s="604">
        <f>F.G.P.INCREMENTO!G7</f>
        <v>3489745.7079833476</v>
      </c>
      <c r="H4" s="604">
        <f>F.G.P.INCREMENTO!H7</f>
        <v>3258857.9437983949</v>
      </c>
      <c r="I4" s="604">
        <f>F.G.P.INCREMENTO!I7</f>
        <v>1803536.2284460706</v>
      </c>
      <c r="J4" s="604">
        <f>F.G.P.INCREMENTO!J7</f>
        <v>2454969.044613536</v>
      </c>
      <c r="K4" s="604">
        <f>F.G.P.INCREMENTO!K7</f>
        <v>1759530.6489861938</v>
      </c>
      <c r="L4" s="604">
        <f>F.G.P.INCREMENTO!L7</f>
        <v>-146330.12104558875</v>
      </c>
      <c r="M4" s="604">
        <f>F.G.P.INCREMENTO!M7</f>
        <v>1915298.2491902926</v>
      </c>
      <c r="N4" s="604">
        <f>F.G.P.INCREMENTO!N7</f>
        <v>1747811.9664533467</v>
      </c>
      <c r="O4" s="605">
        <f>SUM(C4:N4)</f>
        <v>26533778.933103643</v>
      </c>
      <c r="P4" s="606"/>
      <c r="Q4" s="606"/>
    </row>
    <row r="5" spans="1:17" x14ac:dyDescent="0.2">
      <c r="A5" s="602" t="s">
        <v>147</v>
      </c>
      <c r="B5" s="622"/>
      <c r="C5" s="604">
        <f>F.G.P.INCREMENTO!C8</f>
        <v>1827846.0754343155</v>
      </c>
      <c r="D5" s="604">
        <f>F.G.P.INCREMENTO!D8</f>
        <v>3194322.5017148005</v>
      </c>
      <c r="E5" s="604">
        <f>F.G.P.INCREMENTO!E8</f>
        <v>1384006.4907930472</v>
      </c>
      <c r="F5" s="604">
        <f>F.G.P.INCREMENTO!F8</f>
        <v>2207059.4095989815</v>
      </c>
      <c r="G5" s="604">
        <f>F.G.P.INCREMENTO!G8</f>
        <v>2932384.833908305</v>
      </c>
      <c r="H5" s="604">
        <f>F.G.P.INCREMENTO!H8</f>
        <v>2738373.0534848524</v>
      </c>
      <c r="I5" s="604">
        <f>F.G.P.INCREMENTO!I8</f>
        <v>1515486.4354731597</v>
      </c>
      <c r="J5" s="604">
        <f>F.G.P.INCREMENTO!J8</f>
        <v>2062876.3802676038</v>
      </c>
      <c r="K5" s="604">
        <f>F.G.P.INCREMENTO!K8</f>
        <v>1478509.1584411147</v>
      </c>
      <c r="L5" s="604">
        <f>F.G.P.INCREMENTO!L8</f>
        <v>-122959.16768847231</v>
      </c>
      <c r="M5" s="604">
        <f>F.G.P.INCREMENTO!M8</f>
        <v>1609398.5087476019</v>
      </c>
      <c r="N5" s="604">
        <f>F.G.P.INCREMENTO!N8</f>
        <v>1468662.1123213661</v>
      </c>
      <c r="O5" s="605">
        <f t="shared" ref="O5:O23" si="0">SUM(C5:N5)</f>
        <v>22295965.792496677</v>
      </c>
      <c r="P5" s="606"/>
      <c r="Q5" s="606"/>
    </row>
    <row r="6" spans="1:17" x14ac:dyDescent="0.2">
      <c r="A6" s="602" t="s">
        <v>148</v>
      </c>
      <c r="B6" s="622"/>
      <c r="C6" s="604">
        <f>F.G.P.INCREMENTO!C9</f>
        <v>1546926.5350220511</v>
      </c>
      <c r="D6" s="604">
        <f>F.G.P.INCREMENTO!D9</f>
        <v>2703390.7864186657</v>
      </c>
      <c r="E6" s="604">
        <f>F.G.P.INCREMENTO!E9</f>
        <v>1171300.1406542414</v>
      </c>
      <c r="F6" s="604">
        <f>F.G.P.INCREMENTO!F9</f>
        <v>1867859.0122899304</v>
      </c>
      <c r="G6" s="604">
        <f>F.G.P.INCREMENTO!G9</f>
        <v>2481710.01455423</v>
      </c>
      <c r="H6" s="604">
        <f>F.G.P.INCREMENTO!H9</f>
        <v>2317515.6793323215</v>
      </c>
      <c r="I6" s="604">
        <f>F.G.P.INCREMENTO!I9</f>
        <v>1282573.0853416487</v>
      </c>
      <c r="J6" s="604">
        <f>F.G.P.INCREMENTO!J9</f>
        <v>1745835.3052775254</v>
      </c>
      <c r="K6" s="604">
        <f>F.G.P.INCREMENTO!K9</f>
        <v>1251278.8030700192</v>
      </c>
      <c r="L6" s="604">
        <f>F.G.P.INCREMENTO!L9</f>
        <v>-104061.71601529859</v>
      </c>
      <c r="M6" s="604">
        <f>F.G.P.INCREMENTO!M9</f>
        <v>1362051.9211471477</v>
      </c>
      <c r="N6" s="604">
        <f>F.G.P.INCREMENTO!N9</f>
        <v>1242945.1380317279</v>
      </c>
      <c r="O6" s="605">
        <f t="shared" si="0"/>
        <v>18869324.705124214</v>
      </c>
      <c r="P6" s="606"/>
      <c r="Q6" s="606"/>
    </row>
    <row r="7" spans="1:17" x14ac:dyDescent="0.2">
      <c r="A7" s="602" t="s">
        <v>283</v>
      </c>
      <c r="B7" s="622"/>
      <c r="C7" s="604">
        <f>F.G.P.INCREMENTO!C10</f>
        <v>6200997.8785608234</v>
      </c>
      <c r="D7" s="604">
        <f>F.G.P.INCREMENTO!D10</f>
        <v>10836791.632942064</v>
      </c>
      <c r="E7" s="604">
        <f>F.G.P.INCREMENTO!E10</f>
        <v>4695264.7866056608</v>
      </c>
      <c r="F7" s="604">
        <f>F.G.P.INCREMENTO!F10</f>
        <v>7487485.3526870729</v>
      </c>
      <c r="G7" s="604">
        <f>F.G.P.INCREMENTO!G10</f>
        <v>9948163.7860937994</v>
      </c>
      <c r="H7" s="604">
        <f>F.G.P.INCREMENTO!H10</f>
        <v>9289975.6295578182</v>
      </c>
      <c r="I7" s="604">
        <f>F.G.P.INCREMENTO!I10</f>
        <v>5141312.6617479613</v>
      </c>
      <c r="J7" s="604">
        <f>F.G.P.INCREMENTO!J10</f>
        <v>6998342.0539025161</v>
      </c>
      <c r="K7" s="604">
        <f>F.G.P.INCREMENTO!K10</f>
        <v>5015866.6411490003</v>
      </c>
      <c r="L7" s="604">
        <f>F.G.P.INCREMENTO!L10</f>
        <v>-417140.99903332972</v>
      </c>
      <c r="M7" s="604">
        <f>F.G.P.INCREMENTO!M10</f>
        <v>5459910.9151636353</v>
      </c>
      <c r="N7" s="604">
        <f>F.G.P.INCREMENTO!N10</f>
        <v>4982460.3752060952</v>
      </c>
      <c r="O7" s="605">
        <f t="shared" si="0"/>
        <v>75639430.714583114</v>
      </c>
      <c r="P7" s="606"/>
      <c r="Q7" s="606"/>
    </row>
    <row r="8" spans="1:17" x14ac:dyDescent="0.2">
      <c r="A8" s="602" t="s">
        <v>150</v>
      </c>
      <c r="B8" s="622"/>
      <c r="C8" s="604">
        <f>F.G.P.INCREMENTO!C11</f>
        <v>3641200.1898080828</v>
      </c>
      <c r="D8" s="604">
        <f>F.G.P.INCREMENTO!D11</f>
        <v>6363319.0211536121</v>
      </c>
      <c r="E8" s="604">
        <f>F.G.P.INCREMENTO!E11</f>
        <v>2757039.974371932</v>
      </c>
      <c r="F8" s="604">
        <f>F.G.P.INCREMENTO!F11</f>
        <v>4396620.2893971838</v>
      </c>
      <c r="G8" s="604">
        <f>F.G.P.INCREMENTO!G11</f>
        <v>5841520.4416379537</v>
      </c>
      <c r="H8" s="604">
        <f>F.G.P.INCREMENTO!H11</f>
        <v>5455035.0908214059</v>
      </c>
      <c r="I8" s="604">
        <f>F.G.P.INCREMENTO!I11</f>
        <v>3018957.4333742862</v>
      </c>
      <c r="J8" s="604">
        <f>F.G.P.INCREMENTO!J11</f>
        <v>4109397.3766889721</v>
      </c>
      <c r="K8" s="604">
        <f>F.G.P.INCREMENTO!K11</f>
        <v>2945296.0512933717</v>
      </c>
      <c r="L8" s="604">
        <f>F.G.P.INCREMENTO!L11</f>
        <v>-244943.46145614394</v>
      </c>
      <c r="M8" s="604">
        <f>F.G.P.INCREMENTO!M11</f>
        <v>3206037.0040383087</v>
      </c>
      <c r="N8" s="604">
        <f>F.G.P.INCREMENTO!N11</f>
        <v>2925680.0307311602</v>
      </c>
      <c r="O8" s="605">
        <f t="shared" si="0"/>
        <v>44415159.441860139</v>
      </c>
      <c r="P8" s="606"/>
      <c r="Q8" s="606"/>
    </row>
    <row r="9" spans="1:17" x14ac:dyDescent="0.2">
      <c r="A9" s="602" t="s">
        <v>284</v>
      </c>
      <c r="B9" s="622"/>
      <c r="C9" s="604">
        <f>F.G.P.INCREMENTO!C12</f>
        <v>2607324.6916419654</v>
      </c>
      <c r="D9" s="604">
        <f>F.G.P.INCREMENTO!D12</f>
        <v>4556530.2482100753</v>
      </c>
      <c r="E9" s="604">
        <f>F.G.P.INCREMENTO!E12</f>
        <v>1974211.2562623906</v>
      </c>
      <c r="F9" s="604">
        <f>F.G.P.INCREMENTO!F12</f>
        <v>3148252.2362835323</v>
      </c>
      <c r="G9" s="604">
        <f>F.G.P.INCREMENTO!G12</f>
        <v>4182890.1708962847</v>
      </c>
      <c r="H9" s="604">
        <f>F.G.P.INCREMENTO!H12</f>
        <v>3906142.7399358884</v>
      </c>
      <c r="I9" s="604">
        <f>F.G.P.INCREMENTO!I12</f>
        <v>2161760.3671133798</v>
      </c>
      <c r="J9" s="604">
        <f>F.G.P.INCREMENTO!J12</f>
        <v>2942582.8544116956</v>
      </c>
      <c r="K9" s="604">
        <f>F.G.P.INCREMENTO!K12</f>
        <v>2109014.2586028879</v>
      </c>
      <c r="L9" s="604">
        <f>F.G.P.INCREMENTO!L12</f>
        <v>-175394.67807852587</v>
      </c>
      <c r="M9" s="604">
        <f>F.G.P.INCREMENTO!M12</f>
        <v>2295720.9181589936</v>
      </c>
      <c r="N9" s="604">
        <f>F.G.P.INCREMENTO!N12</f>
        <v>2094967.9738348133</v>
      </c>
      <c r="O9" s="605">
        <f t="shared" si="0"/>
        <v>31804003.037273381</v>
      </c>
      <c r="P9" s="606"/>
      <c r="Q9" s="606"/>
    </row>
    <row r="10" spans="1:17" x14ac:dyDescent="0.2">
      <c r="A10" s="602" t="s">
        <v>152</v>
      </c>
      <c r="B10" s="622"/>
      <c r="C10" s="604">
        <f>F.G.P.INCREMENTO!C13</f>
        <v>1642514.3532525166</v>
      </c>
      <c r="D10" s="604">
        <f>F.G.P.INCREMENTO!D13</f>
        <v>2870438.9436825914</v>
      </c>
      <c r="E10" s="604">
        <f>F.G.P.INCREMENTO!E13</f>
        <v>1243677.220239718</v>
      </c>
      <c r="F10" s="604">
        <f>F.G.P.INCREMENTO!F13</f>
        <v>1983277.9179100099</v>
      </c>
      <c r="G10" s="604">
        <f>F.G.P.INCREMENTO!G13</f>
        <v>2635060.0543921296</v>
      </c>
      <c r="H10" s="604">
        <f>F.G.P.INCREMENTO!H13</f>
        <v>2460719.8086086446</v>
      </c>
      <c r="I10" s="604">
        <f>F.G.P.INCREMENTO!I13</f>
        <v>1361825.9523481464</v>
      </c>
      <c r="J10" s="604">
        <f>F.G.P.INCREMENTO!J13</f>
        <v>1853714.1114412704</v>
      </c>
      <c r="K10" s="604">
        <f>F.G.P.INCREMENTO!K13</f>
        <v>1328597.9310800554</v>
      </c>
      <c r="L10" s="604">
        <f>F.G.P.INCREMENTO!L13</f>
        <v>-110491.90657058498</v>
      </c>
      <c r="M10" s="604">
        <f>F.G.P.INCREMENTO!M13</f>
        <v>1446215.9512490777</v>
      </c>
      <c r="N10" s="604">
        <f>F.G.P.INCREMENTO!N13</f>
        <v>1319749.3114910214</v>
      </c>
      <c r="O10" s="605">
        <f t="shared" si="0"/>
        <v>20035299.649124593</v>
      </c>
      <c r="P10" s="606"/>
      <c r="Q10" s="606"/>
    </row>
    <row r="11" spans="1:17" x14ac:dyDescent="0.2">
      <c r="A11" s="602" t="s">
        <v>153</v>
      </c>
      <c r="B11" s="622"/>
      <c r="C11" s="604">
        <f>F.G.P.INCREMENTO!C14</f>
        <v>1909023.3221805906</v>
      </c>
      <c r="D11" s="604">
        <f>F.G.P.INCREMENTO!D14</f>
        <v>3336186.9121779557</v>
      </c>
      <c r="E11" s="604">
        <f>F.G.P.INCREMENTO!E14</f>
        <v>1445472.1896347061</v>
      </c>
      <c r="F11" s="604">
        <f>F.G.P.INCREMENTO!F14</f>
        <v>2305078.0604496193</v>
      </c>
      <c r="G11" s="604">
        <f>F.G.P.INCREMENTO!G14</f>
        <v>3062616.2195903016</v>
      </c>
      <c r="H11" s="604">
        <f>F.G.P.INCREMENTO!H14</f>
        <v>2859988.0997590693</v>
      </c>
      <c r="I11" s="604">
        <f>F.G.P.INCREMENTO!I14</f>
        <v>1582791.3458627316</v>
      </c>
      <c r="J11" s="604">
        <f>F.G.P.INCREMENTO!J14</f>
        <v>2154491.6574939732</v>
      </c>
      <c r="K11" s="604">
        <f>F.G.P.INCREMENTO!K14</f>
        <v>1544171.8553084554</v>
      </c>
      <c r="L11" s="604">
        <f>F.G.P.INCREMENTO!L14</f>
        <v>-128419.9593980762</v>
      </c>
      <c r="M11" s="604">
        <f>F.G.P.INCREMENTO!M14</f>
        <v>1680874.1880258191</v>
      </c>
      <c r="N11" s="604">
        <f>F.G.P.INCREMENTO!N14</f>
        <v>1533887.4878500404</v>
      </c>
      <c r="O11" s="605">
        <f t="shared" si="0"/>
        <v>23286161.378935188</v>
      </c>
      <c r="P11" s="606"/>
      <c r="Q11" s="606"/>
    </row>
    <row r="12" spans="1:17" x14ac:dyDescent="0.2">
      <c r="A12" s="602" t="s">
        <v>154</v>
      </c>
      <c r="B12" s="622"/>
      <c r="C12" s="604">
        <f>F.G.P.INCREMENTO!C15</f>
        <v>1869188.9585133693</v>
      </c>
      <c r="D12" s="604">
        <f>F.G.P.INCREMENTO!D15</f>
        <v>3266572.8424191219</v>
      </c>
      <c r="E12" s="604">
        <f>F.G.P.INCREMENTO!E15</f>
        <v>1415310.4497524542</v>
      </c>
      <c r="F12" s="604">
        <f>F.G.P.INCREMENTO!F15</f>
        <v>2256979.4769098437</v>
      </c>
      <c r="G12" s="604">
        <f>F.G.P.INCREMENTO!G15</f>
        <v>2998710.5737834508</v>
      </c>
      <c r="H12" s="604">
        <f>F.G.P.INCREMENTO!H15</f>
        <v>2800310.5647986294</v>
      </c>
      <c r="I12" s="604">
        <f>F.G.P.INCREMENTO!I15</f>
        <v>1549764.2553354099</v>
      </c>
      <c r="J12" s="604">
        <f>F.G.P.INCREMENTO!J15</f>
        <v>2109535.2637163536</v>
      </c>
      <c r="K12" s="604">
        <f>F.G.P.INCREMENTO!K15</f>
        <v>1511950.6128886493</v>
      </c>
      <c r="L12" s="604">
        <f>F.G.P.INCREMENTO!L15</f>
        <v>-125740.30257809062</v>
      </c>
      <c r="M12" s="604">
        <f>F.G.P.INCREMENTO!M15</f>
        <v>1645800.4658210089</v>
      </c>
      <c r="N12" s="604">
        <f>F.G.P.INCREMENTO!N15</f>
        <v>1501880.8427212501</v>
      </c>
      <c r="O12" s="605">
        <f t="shared" si="0"/>
        <v>22800264.004081447</v>
      </c>
      <c r="P12" s="606"/>
      <c r="Q12" s="606"/>
    </row>
    <row r="13" spans="1:17" x14ac:dyDescent="0.2">
      <c r="A13" s="602" t="s">
        <v>155</v>
      </c>
      <c r="B13" s="622"/>
      <c r="C13" s="604">
        <f>F.G.P.INCREMENTO!C16</f>
        <v>1681263.3228988729</v>
      </c>
      <c r="D13" s="604">
        <f>F.G.P.INCREMENTO!D16</f>
        <v>2938156.1914985534</v>
      </c>
      <c r="E13" s="604">
        <f>F.G.P.INCREMENTO!E16</f>
        <v>1273017.1226652309</v>
      </c>
      <c r="F13" s="604">
        <f>F.G.P.INCREMENTO!F16</f>
        <v>2030065.926604853</v>
      </c>
      <c r="G13" s="604">
        <f>F.G.P.INCREMENTO!G16</f>
        <v>2697224.419569077</v>
      </c>
      <c r="H13" s="604">
        <f>F.G.P.INCREMENTO!H16</f>
        <v>2518771.2691533579</v>
      </c>
      <c r="I13" s="604">
        <f>F.G.P.INCREMENTO!I16</f>
        <v>1393953.1312593468</v>
      </c>
      <c r="J13" s="604">
        <f>F.G.P.INCREMENTO!J16</f>
        <v>1897445.5477571981</v>
      </c>
      <c r="K13" s="604">
        <f>F.G.P.INCREMENTO!K16</f>
        <v>1359941.219375642</v>
      </c>
      <c r="L13" s="604">
        <f>F.G.P.INCREMENTO!L16</f>
        <v>-113098.54895723656</v>
      </c>
      <c r="M13" s="604">
        <f>F.G.P.INCREMENTO!M16</f>
        <v>1480333.9958713711</v>
      </c>
      <c r="N13" s="604">
        <f>F.G.P.INCREMENTO!N16</f>
        <v>1350883.8497740505</v>
      </c>
      <c r="O13" s="605">
        <f t="shared" si="0"/>
        <v>20507957.447470319</v>
      </c>
      <c r="P13" s="606"/>
      <c r="Q13" s="606"/>
    </row>
    <row r="14" spans="1:17" x14ac:dyDescent="0.2">
      <c r="A14" s="602" t="s">
        <v>156</v>
      </c>
      <c r="B14" s="622"/>
      <c r="C14" s="604">
        <f>F.G.P.INCREMENTO!C17</f>
        <v>2097917.3524721228</v>
      </c>
      <c r="D14" s="604">
        <f>F.G.P.INCREMENTO!D17</f>
        <v>3666295.9183515017</v>
      </c>
      <c r="E14" s="604">
        <f>F.G.P.INCREMENTO!E17</f>
        <v>1588498.7647435651</v>
      </c>
      <c r="F14" s="604">
        <f>F.G.P.INCREMENTO!F17</f>
        <v>2533160.9130349727</v>
      </c>
      <c r="G14" s="604">
        <f>F.G.P.INCREMENTO!G17</f>
        <v>3365655.9542195373</v>
      </c>
      <c r="H14" s="604">
        <f>F.G.P.INCREMENTO!H17</f>
        <v>3142978.1881840895</v>
      </c>
      <c r="I14" s="604">
        <f>F.G.P.INCREMENTO!I17</f>
        <v>1739405.3761664885</v>
      </c>
      <c r="J14" s="604">
        <f>F.G.P.INCREMENTO!J17</f>
        <v>2367674.2874204926</v>
      </c>
      <c r="K14" s="604">
        <f>F.G.P.INCREMENTO!K17</f>
        <v>1696964.5644508398</v>
      </c>
      <c r="L14" s="604">
        <f>F.G.P.INCREMENTO!L17</f>
        <v>-141126.85690882479</v>
      </c>
      <c r="M14" s="604">
        <f>F.G.P.INCREMENTO!M17</f>
        <v>1847193.3189134032</v>
      </c>
      <c r="N14" s="604">
        <f>F.G.P.INCREMENTO!N17</f>
        <v>1685662.5794517442</v>
      </c>
      <c r="O14" s="605">
        <f t="shared" si="0"/>
        <v>25590280.360499933</v>
      </c>
      <c r="P14" s="606"/>
      <c r="Q14" s="606"/>
    </row>
    <row r="15" spans="1:17" x14ac:dyDescent="0.2">
      <c r="A15" s="602" t="s">
        <v>157</v>
      </c>
      <c r="B15" s="622"/>
      <c r="C15" s="604">
        <f>F.G.P.INCREMENTO!C18</f>
        <v>1745867.8477264857</v>
      </c>
      <c r="D15" s="604">
        <f>F.G.P.INCREMENTO!D18</f>
        <v>3051058.3062569862</v>
      </c>
      <c r="E15" s="604">
        <f>F.G.P.INCREMENTO!E18</f>
        <v>1321934.3060636038</v>
      </c>
      <c r="F15" s="604">
        <f>F.G.P.INCREMENTO!F18</f>
        <v>2108073.6026010793</v>
      </c>
      <c r="G15" s="604">
        <f>F.G.P.INCREMENTO!G18</f>
        <v>2800868.4470134173</v>
      </c>
      <c r="H15" s="604">
        <f>F.G.P.INCREMENTO!H18</f>
        <v>2615558.0239565992</v>
      </c>
      <c r="I15" s="604">
        <f>F.G.P.INCREMENTO!I18</f>
        <v>1447517.4233309166</v>
      </c>
      <c r="J15" s="604">
        <f>F.G.P.INCREMENTO!J18</f>
        <v>1970357.1293812844</v>
      </c>
      <c r="K15" s="604">
        <f>F.G.P.INCREMENTO!K18</f>
        <v>1412198.5636444506</v>
      </c>
      <c r="L15" s="604">
        <f>F.G.P.INCREMENTO!L18</f>
        <v>-117444.4940061516</v>
      </c>
      <c r="M15" s="604">
        <f>F.G.P.INCREMENTO!M18</f>
        <v>1537217.5744797077</v>
      </c>
      <c r="N15" s="604">
        <f>F.G.P.INCREMENTO!N18</f>
        <v>1402793.1539403189</v>
      </c>
      <c r="O15" s="605">
        <f t="shared" si="0"/>
        <v>21295999.884388696</v>
      </c>
      <c r="P15" s="606"/>
      <c r="Q15" s="606"/>
    </row>
    <row r="16" spans="1:17" x14ac:dyDescent="0.2">
      <c r="A16" s="602" t="s">
        <v>158</v>
      </c>
      <c r="B16" s="622"/>
      <c r="C16" s="604">
        <f>F.G.P.INCREMENTO!C19</f>
        <v>2365953.0587104703</v>
      </c>
      <c r="D16" s="604">
        <f>F.G.P.INCREMENTO!D19</f>
        <v>4134711.995179378</v>
      </c>
      <c r="E16" s="604">
        <f>F.G.P.INCREMENTO!E19</f>
        <v>1791449.7474241098</v>
      </c>
      <c r="F16" s="604">
        <f>F.G.P.INCREMENTO!F19</f>
        <v>2856804.536812915</v>
      </c>
      <c r="G16" s="604">
        <f>F.G.P.INCREMENTO!G19</f>
        <v>3795661.4401751715</v>
      </c>
      <c r="H16" s="604">
        <f>F.G.P.INCREMENTO!H19</f>
        <v>3544533.7486874382</v>
      </c>
      <c r="I16" s="604">
        <f>F.G.P.INCREMENTO!I19</f>
        <v>1961636.6036675053</v>
      </c>
      <c r="J16" s="604">
        <f>F.G.P.INCREMENTO!J19</f>
        <v>2670174.8835585197</v>
      </c>
      <c r="K16" s="604">
        <f>F.G.P.INCREMENTO!K19</f>
        <v>1913773.4368108746</v>
      </c>
      <c r="L16" s="604">
        <f>F.G.P.INCREMENTO!L19</f>
        <v>-159157.61332360006</v>
      </c>
      <c r="M16" s="604">
        <f>F.G.P.INCREMENTO!M19</f>
        <v>2083195.8312193733</v>
      </c>
      <c r="N16" s="604">
        <f>F.G.P.INCREMENTO!N19</f>
        <v>1901027.4790415659</v>
      </c>
      <c r="O16" s="605">
        <f t="shared" si="0"/>
        <v>28859765.147963721</v>
      </c>
      <c r="P16" s="606"/>
      <c r="Q16" s="606"/>
    </row>
    <row r="17" spans="1:20" x14ac:dyDescent="0.2">
      <c r="A17" s="602" t="s">
        <v>285</v>
      </c>
      <c r="B17" s="622"/>
      <c r="C17" s="604">
        <f>F.G.P.INCREMENTO!C20</f>
        <v>1595518.0808765097</v>
      </c>
      <c r="D17" s="604">
        <f>F.G.P.INCREMENTO!D20</f>
        <v>2788308.8057213151</v>
      </c>
      <c r="E17" s="604">
        <f>F.G.P.INCREMENTO!E20</f>
        <v>1208092.6341601615</v>
      </c>
      <c r="F17" s="604">
        <f>F.G.P.INCREMENTO!F20</f>
        <v>1926531.5832171952</v>
      </c>
      <c r="G17" s="604">
        <f>F.G.P.INCREMENTO!G20</f>
        <v>2559664.670602561</v>
      </c>
      <c r="H17" s="604">
        <f>F.G.P.INCREMENTO!H20</f>
        <v>2390312.7171044471</v>
      </c>
      <c r="I17" s="604">
        <f>F.G.P.INCREMENTO!I20</f>
        <v>1322860.8478676076</v>
      </c>
      <c r="J17" s="604">
        <f>F.G.P.INCREMENTO!J20</f>
        <v>1800674.9077861968</v>
      </c>
      <c r="K17" s="604">
        <f>F.G.P.INCREMENTO!K20</f>
        <v>1290583.5599279278</v>
      </c>
      <c r="L17" s="604">
        <f>F.G.P.INCREMENTO!L20</f>
        <v>-107330.46829989168</v>
      </c>
      <c r="M17" s="604">
        <f>F.G.P.INCREMENTO!M20</f>
        <v>1404836.246636549</v>
      </c>
      <c r="N17" s="604">
        <f>F.G.P.INCREMENTO!N20</f>
        <v>1281988.1205534441</v>
      </c>
      <c r="O17" s="605">
        <f t="shared" si="0"/>
        <v>19462041.706154022</v>
      </c>
      <c r="P17" s="606"/>
      <c r="Q17" s="606"/>
    </row>
    <row r="18" spans="1:20" x14ac:dyDescent="0.2">
      <c r="A18" s="602" t="s">
        <v>286</v>
      </c>
      <c r="B18" s="622"/>
      <c r="C18" s="604">
        <f>F.G.P.INCREMENTO!C21</f>
        <v>1972411.9372022895</v>
      </c>
      <c r="D18" s="604">
        <f>F.G.P.INCREMENTO!D21</f>
        <v>3446964.1171284528</v>
      </c>
      <c r="E18" s="604">
        <f>F.G.P.INCREMENTO!E21</f>
        <v>1493468.711777068</v>
      </c>
      <c r="F18" s="604">
        <f>F.G.P.INCREMENTO!F21</f>
        <v>2381617.5684122057</v>
      </c>
      <c r="G18" s="604">
        <f>F.G.P.INCREMENTO!G21</f>
        <v>3164309.581974721</v>
      </c>
      <c r="H18" s="604">
        <f>F.G.P.INCREMENTO!H21</f>
        <v>2954953.2489617448</v>
      </c>
      <c r="I18" s="604">
        <f>F.G.P.INCREMENTO!I21</f>
        <v>1635347.5143059569</v>
      </c>
      <c r="J18" s="604">
        <f>F.G.P.INCREMENTO!J21</f>
        <v>2226030.9837335022</v>
      </c>
      <c r="K18" s="604">
        <f>F.G.P.INCREMENTO!K21</f>
        <v>1595445.6737716489</v>
      </c>
      <c r="L18" s="604">
        <f>F.G.P.INCREMENTO!L21</f>
        <v>-132684.11021949648</v>
      </c>
      <c r="M18" s="604">
        <f>F.G.P.INCREMENTO!M21</f>
        <v>1736687.1713281781</v>
      </c>
      <c r="N18" s="604">
        <f>F.G.P.INCREMENTO!N21</f>
        <v>1584819.8166090546</v>
      </c>
      <c r="O18" s="605">
        <f t="shared" si="0"/>
        <v>24059372.214985326</v>
      </c>
      <c r="P18" s="606"/>
      <c r="Q18" s="606"/>
    </row>
    <row r="19" spans="1:20" x14ac:dyDescent="0.2">
      <c r="A19" s="602" t="s">
        <v>287</v>
      </c>
      <c r="B19" s="622"/>
      <c r="C19" s="604">
        <f>F.G.P.INCREMENTO!C22</f>
        <v>3692569.7719765282</v>
      </c>
      <c r="D19" s="604">
        <f>F.G.P.INCREMENTO!D22</f>
        <v>6453091.9043463953</v>
      </c>
      <c r="E19" s="604">
        <f>F.G.P.INCREMENTO!E22</f>
        <v>2795935.9383734758</v>
      </c>
      <c r="F19" s="604">
        <f>F.G.P.INCREMENTO!F22</f>
        <v>4458647.2407995854</v>
      </c>
      <c r="G19" s="604">
        <f>F.G.P.INCREMENTO!G22</f>
        <v>5923931.8578394866</v>
      </c>
      <c r="H19" s="604">
        <f>F.G.P.INCREMENTO!H22</f>
        <v>5531994.0215921067</v>
      </c>
      <c r="I19" s="604">
        <f>F.G.P.INCREMENTO!I22</f>
        <v>3061548.4950717026</v>
      </c>
      <c r="J19" s="604">
        <f>F.G.P.INCREMENTO!J22</f>
        <v>4167372.224321764</v>
      </c>
      <c r="K19" s="604">
        <f>F.G.P.INCREMENTO!K22</f>
        <v>2986847.9077226901</v>
      </c>
      <c r="L19" s="604">
        <f>F.G.P.INCREMENTO!L22</f>
        <v>-248399.09218611981</v>
      </c>
      <c r="M19" s="604">
        <f>F.G.P.INCREMENTO!M22</f>
        <v>3251267.3601651173</v>
      </c>
      <c r="N19" s="604">
        <f>F.G.P.INCREMENTO!N22</f>
        <v>2966955.1468749787</v>
      </c>
      <c r="O19" s="605">
        <f t="shared" si="0"/>
        <v>45041762.776897706</v>
      </c>
      <c r="P19" s="606"/>
      <c r="Q19" s="606"/>
    </row>
    <row r="20" spans="1:20" x14ac:dyDescent="0.2">
      <c r="A20" s="602" t="s">
        <v>162</v>
      </c>
      <c r="B20" s="622"/>
      <c r="C20" s="604">
        <f>F.G.P.INCREMENTO!C23</f>
        <v>2212641.6912946524</v>
      </c>
      <c r="D20" s="604">
        <f>F.G.P.INCREMENTO!D23</f>
        <v>3866786.8360060877</v>
      </c>
      <c r="E20" s="604">
        <f>F.G.P.INCREMENTO!E23</f>
        <v>1675365.6140457385</v>
      </c>
      <c r="F20" s="604">
        <f>F.G.P.INCREMENTO!F23</f>
        <v>2671686.4896200369</v>
      </c>
      <c r="G20" s="604">
        <f>F.G.P.INCREMENTO!G23</f>
        <v>3549706.4143565637</v>
      </c>
      <c r="H20" s="604">
        <f>F.G.P.INCREMENTO!H23</f>
        <v>3314851.5435134405</v>
      </c>
      <c r="I20" s="604">
        <f>F.G.P.INCREMENTO!I23</f>
        <v>1834524.5339778808</v>
      </c>
      <c r="J20" s="604">
        <f>F.G.P.INCREMENTO!J23</f>
        <v>2497150.2493078094</v>
      </c>
      <c r="K20" s="604">
        <f>F.G.P.INCREMENTO!K23</f>
        <v>1789762.8519679701</v>
      </c>
      <c r="L20" s="604">
        <f>F.G.P.INCREMENTO!L23</f>
        <v>-148844.36080853184</v>
      </c>
      <c r="M20" s="604">
        <f>F.G.P.INCREMENTO!M23</f>
        <v>1948206.8464196303</v>
      </c>
      <c r="N20" s="604">
        <f>F.G.P.INCREMENTO!N23</f>
        <v>1777842.8193823597</v>
      </c>
      <c r="O20" s="605">
        <f t="shared" si="0"/>
        <v>26989681.529083632</v>
      </c>
      <c r="P20" s="606"/>
      <c r="Q20" s="606"/>
    </row>
    <row r="21" spans="1:20" x14ac:dyDescent="0.2">
      <c r="A21" s="602" t="s">
        <v>163</v>
      </c>
      <c r="B21" s="622"/>
      <c r="C21" s="604">
        <f>F.G.P.INCREMENTO!C24</f>
        <v>12812113.97906029</v>
      </c>
      <c r="D21" s="604">
        <f>F.G.P.INCREMENTO!D24</f>
        <v>22390301.091475978</v>
      </c>
      <c r="E21" s="604">
        <f>F.G.P.INCREMENTO!E24</f>
        <v>9701062.4396184217</v>
      </c>
      <c r="F21" s="604">
        <f>F.G.P.INCREMENTO!F24</f>
        <v>15470173.935527217</v>
      </c>
      <c r="G21" s="604">
        <f>F.G.P.INCREMENTO!G24</f>
        <v>20554273.813003615</v>
      </c>
      <c r="H21" s="604">
        <f>F.G.P.INCREMENTO!H24</f>
        <v>19194366.609944917</v>
      </c>
      <c r="I21" s="604">
        <f>F.G.P.INCREMENTO!I24</f>
        <v>10622658.661445731</v>
      </c>
      <c r="J21" s="604">
        <f>F.G.P.INCREMENTO!J24</f>
        <v>14459536.644747209</v>
      </c>
      <c r="K21" s="604">
        <f>F.G.P.INCREMENTO!K24</f>
        <v>10363469.939628838</v>
      </c>
      <c r="L21" s="604">
        <f>F.G.P.INCREMENTO!L24</f>
        <v>-861870.6423738501</v>
      </c>
      <c r="M21" s="604">
        <f>F.G.P.INCREMENTO!M24</f>
        <v>11280926.446120171</v>
      </c>
      <c r="N21" s="604">
        <f>F.G.P.INCREMENTO!N24</f>
        <v>10294448.002312094</v>
      </c>
      <c r="O21" s="605">
        <f t="shared" si="0"/>
        <v>156281460.92051062</v>
      </c>
      <c r="P21" s="606"/>
      <c r="Q21" s="606"/>
      <c r="T21" s="606"/>
    </row>
    <row r="22" spans="1:20" x14ac:dyDescent="0.2">
      <c r="A22" s="602" t="s">
        <v>164</v>
      </c>
      <c r="B22" s="622"/>
      <c r="C22" s="604">
        <f>F.G.P.INCREMENTO!C25</f>
        <v>1722473.1282132629</v>
      </c>
      <c r="D22" s="604">
        <f>F.G.P.INCREMENTO!D25</f>
        <v>3010173.9670520909</v>
      </c>
      <c r="E22" s="604">
        <f>F.G.P.INCREMENTO!E25</f>
        <v>1304220.3179484452</v>
      </c>
      <c r="F22" s="604">
        <f>F.G.P.INCREMENTO!F25</f>
        <v>2079825.3072273466</v>
      </c>
      <c r="G22" s="604">
        <f>F.G.P.INCREMENTO!G25</f>
        <v>2763336.6648704307</v>
      </c>
      <c r="H22" s="604">
        <f>F.G.P.INCREMENTO!H25</f>
        <v>2580509.4110729224</v>
      </c>
      <c r="I22" s="604">
        <f>F.G.P.INCREMENTO!I25</f>
        <v>1428120.614945088</v>
      </c>
      <c r="J22" s="604">
        <f>F.G.P.INCREMENTO!J25</f>
        <v>1943954.2418759207</v>
      </c>
      <c r="K22" s="604">
        <f>F.G.P.INCREMENTO!K25</f>
        <v>1393275.0298062735</v>
      </c>
      <c r="L22" s="604">
        <f>F.G.P.INCREMENTO!L25</f>
        <v>-115870.73170837844</v>
      </c>
      <c r="M22" s="604">
        <f>F.G.P.INCREMENTO!M25</f>
        <v>1516618.7794262441</v>
      </c>
      <c r="N22" s="604">
        <f>F.G.P.INCREMENTO!N25</f>
        <v>1383995.6530789339</v>
      </c>
      <c r="O22" s="605">
        <f t="shared" si="0"/>
        <v>21010632.383808583</v>
      </c>
      <c r="P22" s="606"/>
      <c r="Q22" s="606"/>
      <c r="T22" s="606"/>
    </row>
    <row r="23" spans="1:20" ht="13.5" thickBot="1" x14ac:dyDescent="0.25">
      <c r="A23" s="602" t="s">
        <v>165</v>
      </c>
      <c r="B23" s="622"/>
      <c r="C23" s="604">
        <f>F.G.P.INCREMENTO!C26</f>
        <v>2828251.0441518221</v>
      </c>
      <c r="D23" s="604">
        <f>F.G.P.INCREMENTO!D26</f>
        <v>4942618.5674228016</v>
      </c>
      <c r="E23" s="604">
        <f>F.G.P.INCREMENTO!E26</f>
        <v>2141492.0300486749</v>
      </c>
      <c r="F23" s="604">
        <f>F.G.P.INCREMENTO!F26</f>
        <v>3415012.9836399001</v>
      </c>
      <c r="G23" s="604">
        <f>F.G.P.INCREMENTO!G26</f>
        <v>4537318.8584194668</v>
      </c>
      <c r="H23" s="604">
        <f>F.G.P.INCREMENTO!H26</f>
        <v>4237121.797006621</v>
      </c>
      <c r="I23" s="604">
        <f>F.G.P.INCREMENTO!I26</f>
        <v>2344932.7331933277</v>
      </c>
      <c r="J23" s="604">
        <f>F.G.P.INCREMENTO!J26</f>
        <v>3191916.6251795483</v>
      </c>
      <c r="K23" s="604">
        <f>F.G.P.INCREMENTO!K26</f>
        <v>2287717.2905029897</v>
      </c>
      <c r="L23" s="604">
        <f>F.G.P.INCREMENTO!L26</f>
        <v>-190256.3892423652</v>
      </c>
      <c r="M23" s="604">
        <f>F.G.P.INCREMENTO!M26</f>
        <v>2490244.1589564588</v>
      </c>
      <c r="N23" s="604">
        <f>F.G.P.INCREMENTO!N26</f>
        <v>2272480.8223756757</v>
      </c>
      <c r="O23" s="605">
        <f t="shared" si="0"/>
        <v>34498850.521654926</v>
      </c>
      <c r="P23" s="606"/>
      <c r="Q23" s="606"/>
      <c r="T23" s="606"/>
    </row>
    <row r="24" spans="1:20" ht="13.5" thickBot="1" x14ac:dyDescent="0.25">
      <c r="A24" s="607" t="s">
        <v>288</v>
      </c>
      <c r="B24" s="623">
        <f>SUM(B4:B23)</f>
        <v>0</v>
      </c>
      <c r="C24" s="609">
        <f>SUM(C4:C23)</f>
        <v>58147269.549269065</v>
      </c>
      <c r="D24" s="609">
        <f t="shared" ref="D24:N24" si="1">SUM(D4:D23)</f>
        <v>101617490.6797729</v>
      </c>
      <c r="E24" s="609">
        <f t="shared" si="1"/>
        <v>44027885.914277166</v>
      </c>
      <c r="F24" s="609">
        <f t="shared" si="1"/>
        <v>70210768.907720506</v>
      </c>
      <c r="G24" s="609">
        <f t="shared" si="1"/>
        <v>93284753.924883842</v>
      </c>
      <c r="H24" s="609">
        <f t="shared" si="1"/>
        <v>87112869.189274713</v>
      </c>
      <c r="I24" s="609">
        <f t="shared" si="1"/>
        <v>48210513.700274348</v>
      </c>
      <c r="J24" s="609">
        <f t="shared" si="1"/>
        <v>65624031.772882909</v>
      </c>
      <c r="K24" s="609">
        <f t="shared" si="1"/>
        <v>47034195.998429894</v>
      </c>
      <c r="L24" s="609">
        <f t="shared" si="1"/>
        <v>-3911565.6198985577</v>
      </c>
      <c r="M24" s="609">
        <f t="shared" si="1"/>
        <v>51198035.851078101</v>
      </c>
      <c r="N24" s="609">
        <f t="shared" si="1"/>
        <v>46720942.682035044</v>
      </c>
      <c r="O24" s="609">
        <f>SUM(C24:N24)</f>
        <v>709277192.55000007</v>
      </c>
      <c r="P24" s="606"/>
      <c r="Q24" s="606"/>
      <c r="T24" s="606"/>
    </row>
    <row r="25" spans="1:20" x14ac:dyDescent="0.2">
      <c r="A25" s="610"/>
      <c r="B25" s="610"/>
      <c r="C25" s="610"/>
      <c r="D25" s="610"/>
      <c r="E25" s="610"/>
      <c r="F25" s="610"/>
      <c r="G25" s="610"/>
      <c r="H25" s="610"/>
      <c r="I25" s="610"/>
      <c r="J25" s="610"/>
      <c r="K25" s="610"/>
      <c r="L25" s="610"/>
      <c r="M25" s="610"/>
      <c r="N25" s="610"/>
      <c r="O25" s="610"/>
      <c r="T25" s="606"/>
    </row>
    <row r="26" spans="1:20" x14ac:dyDescent="0.2">
      <c r="A26" s="611" t="s">
        <v>289</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5" tint="0.59999389629810485"/>
  </sheetPr>
  <dimension ref="A1:O29"/>
  <sheetViews>
    <sheetView workbookViewId="0">
      <selection activeCell="D4" sqref="D4"/>
    </sheetView>
  </sheetViews>
  <sheetFormatPr baseColWidth="10" defaultRowHeight="12.75" x14ac:dyDescent="0.2"/>
  <cols>
    <col min="1" max="1" width="16" style="597" customWidth="1"/>
    <col min="2" max="2" width="9.28515625" style="597" hidden="1" customWidth="1"/>
    <col min="3" max="10" width="8.7109375" style="597" bestFit="1" customWidth="1"/>
    <col min="11" max="11" width="9.7109375" style="597" bestFit="1" customWidth="1"/>
    <col min="12" max="12" width="8.7109375" style="597" bestFit="1" customWidth="1"/>
    <col min="13" max="13" width="9.42578125" style="597" bestFit="1" customWidth="1"/>
    <col min="14" max="14" width="8.7109375" style="597" bestFit="1" customWidth="1"/>
    <col min="15" max="15" width="13.7109375" style="597" bestFit="1" customWidth="1"/>
    <col min="16" max="16384" width="11.42578125" style="597"/>
  </cols>
  <sheetData>
    <row r="1" spans="1:15" x14ac:dyDescent="0.2">
      <c r="A1" s="1255" t="s">
        <v>380</v>
      </c>
      <c r="B1" s="1255"/>
      <c r="C1" s="1255"/>
      <c r="D1" s="1255"/>
      <c r="E1" s="1255"/>
      <c r="F1" s="1255"/>
      <c r="G1" s="1255"/>
      <c r="H1" s="1255"/>
      <c r="I1" s="1255"/>
      <c r="J1" s="1255"/>
      <c r="K1" s="1255"/>
      <c r="L1" s="1255"/>
      <c r="M1" s="1255"/>
      <c r="N1" s="1255"/>
      <c r="O1" s="1255"/>
    </row>
    <row r="2" spans="1:15" ht="13.5" thickBot="1" x14ac:dyDescent="0.25"/>
    <row r="3" spans="1:15" ht="23.25" thickBot="1" x14ac:dyDescent="0.25">
      <c r="A3" s="598" t="s">
        <v>341</v>
      </c>
      <c r="B3" s="599" t="s">
        <v>281</v>
      </c>
      <c r="C3" s="598" t="s">
        <v>1</v>
      </c>
      <c r="D3" s="600" t="s">
        <v>2</v>
      </c>
      <c r="E3" s="598" t="s">
        <v>3</v>
      </c>
      <c r="F3" s="600" t="s">
        <v>4</v>
      </c>
      <c r="G3" s="598" t="s">
        <v>5</v>
      </c>
      <c r="H3" s="598" t="s">
        <v>6</v>
      </c>
      <c r="I3" s="598" t="s">
        <v>7</v>
      </c>
      <c r="J3" s="600" t="s">
        <v>8</v>
      </c>
      <c r="K3" s="598" t="s">
        <v>9</v>
      </c>
      <c r="L3" s="600" t="s">
        <v>10</v>
      </c>
      <c r="M3" s="598" t="s">
        <v>11</v>
      </c>
      <c r="N3" s="598" t="s">
        <v>12</v>
      </c>
      <c r="O3" s="601" t="s">
        <v>168</v>
      </c>
    </row>
    <row r="4" spans="1:15" ht="12.75" customHeight="1" x14ac:dyDescent="0.2">
      <c r="A4" s="602" t="s">
        <v>282</v>
      </c>
      <c r="B4" s="622"/>
      <c r="C4" s="604">
        <f>'F.F.M30%'!C7+'F.F.M.70%'!C7+'F.F.M.ESTIIMACIONES 2014'!C7</f>
        <v>1503824.4752925038</v>
      </c>
      <c r="D4" s="604">
        <f>'F.F.M30%'!D7+'F.F.M.70%'!D7+'F.F.M.ESTIIMACIONES 2014'!D7</f>
        <v>1942622.1220242432</v>
      </c>
      <c r="E4" s="604">
        <f>'F.F.M30%'!E7+'F.F.M.70%'!E7+'F.F.M.ESTIIMACIONES 2014'!E7</f>
        <v>1395057.6167066393</v>
      </c>
      <c r="F4" s="604">
        <f>'F.F.M30%'!F7+'F.F.M.70%'!F7+'F.F.M.ESTIIMACIONES 2014'!F7</f>
        <v>1662577.7484465591</v>
      </c>
      <c r="G4" s="604">
        <f>'F.F.M30%'!G7+'F.F.M.70%'!G7+'F.F.M.ESTIIMACIONES 2014'!G7</f>
        <v>1599698.5691329311</v>
      </c>
      <c r="H4" s="604">
        <f>'F.F.M30%'!H7+'F.F.M.70%'!H7+'F.F.M.ESTIIMACIONES 2014'!H7</f>
        <v>1594600.3054722454</v>
      </c>
      <c r="I4" s="604">
        <f>'F.F.M30%'!I7+'F.F.M.70%'!I7+'F.F.M.ESTIIMACIONES 2014'!I7</f>
        <v>1553989.5238400209</v>
      </c>
      <c r="J4" s="604">
        <f>'F.F.M30%'!J7+'F.F.M.70%'!J7+'F.F.M.ESTIIMACIONES 2014'!J7</f>
        <v>1474363.9101193848</v>
      </c>
      <c r="K4" s="604">
        <f>'F.F.M30%'!K7+'F.F.M.70%'!K7+'F.F.M.ESTIIMACIONES 2014'!K7</f>
        <v>1495165.9543303121</v>
      </c>
      <c r="L4" s="604">
        <f>'F.F.M30%'!L7+'F.F.M.70%'!L7+'F.F.M.ESTIIMACIONES 2014'!L7</f>
        <v>1272815.5285268098</v>
      </c>
      <c r="M4" s="604">
        <f>'F.F.M30%'!M7+'F.F.M.70%'!M7+'F.F.M.ESTIIMACIONES 2014'!M7</f>
        <v>1391797.7206724342</v>
      </c>
      <c r="N4" s="604">
        <f>'F.F.M30%'!N7+'F.F.M.70%'!N7+'F.F.M.ESTIIMACIONES 2014'!N7</f>
        <v>1499938.7720688102</v>
      </c>
      <c r="O4" s="605">
        <f t="shared" ref="O4:O24" si="0">SUM(C4:N4)</f>
        <v>18386452.246632893</v>
      </c>
    </row>
    <row r="5" spans="1:15" ht="12.75" customHeight="1" x14ac:dyDescent="0.2">
      <c r="A5" s="602" t="s">
        <v>147</v>
      </c>
      <c r="B5" s="622"/>
      <c r="C5" s="604">
        <f>'F.F.M30%'!C8+'F.F.M.70%'!C8+'F.F.M.ESTIIMACIONES 2014'!C8</f>
        <v>977938.86978601245</v>
      </c>
      <c r="D5" s="604">
        <f>'F.F.M30%'!D8+'F.F.M.70%'!D8+'F.F.M.ESTIIMACIONES 2014'!D8</f>
        <v>1225181.0063763894</v>
      </c>
      <c r="E5" s="604">
        <f>'F.F.M30%'!E8+'F.F.M.70%'!E8+'F.F.M.ESTIIMACIONES 2014'!E8</f>
        <v>920651.81527922163</v>
      </c>
      <c r="F5" s="604">
        <f>'F.F.M30%'!F8+'F.F.M.70%'!F8+'F.F.M.ESTIIMACIONES 2014'!F8</f>
        <v>1073168.2154800242</v>
      </c>
      <c r="G5" s="604">
        <f>'F.F.M30%'!G8+'F.F.M.70%'!G8+'F.F.M.ESTIIMACIONES 2014'!G8</f>
        <v>997591.19678092923</v>
      </c>
      <c r="H5" s="604">
        <f>'F.F.M30%'!H8+'F.F.M.70%'!H8+'F.F.M.ESTIIMACIONES 2014'!H8</f>
        <v>1013296.9304029156</v>
      </c>
      <c r="I5" s="604">
        <f>'F.F.M30%'!I8+'F.F.M.70%'!I8+'F.F.M.ESTIIMACIONES 2014'!I8</f>
        <v>1026735.5169569432</v>
      </c>
      <c r="J5" s="604">
        <f>'F.F.M30%'!J8+'F.F.M.70%'!J8+'F.F.M.ESTIIMACIONES 2014'!J8</f>
        <v>947077.3843984378</v>
      </c>
      <c r="K5" s="604">
        <f>'F.F.M30%'!K8+'F.F.M.70%'!K8+'F.F.M.ESTIIMACIONES 2014'!K8</f>
        <v>986972.8385617868</v>
      </c>
      <c r="L5" s="604">
        <f>'F.F.M30%'!L8+'F.F.M.70%'!L8+'F.F.M.ESTIIMACIONES 2014'!L8</f>
        <v>882979.94750473811</v>
      </c>
      <c r="M5" s="604">
        <f>'F.F.M30%'!M8+'F.F.M.70%'!M8+'F.F.M.ESTIIMACIONES 2014'!M8</f>
        <v>908630.01202817168</v>
      </c>
      <c r="N5" s="604">
        <f>'F.F.M30%'!N8+'F.F.M.70%'!N8+'F.F.M.ESTIIMACIONES 2014'!N8</f>
        <v>990754.62689197517</v>
      </c>
      <c r="O5" s="605">
        <f t="shared" si="0"/>
        <v>11950978.360447545</v>
      </c>
    </row>
    <row r="6" spans="1:15" ht="12.75" customHeight="1" x14ac:dyDescent="0.2">
      <c r="A6" s="602" t="s">
        <v>148</v>
      </c>
      <c r="B6" s="622"/>
      <c r="C6" s="604">
        <f>'F.F.M30%'!C9+'F.F.M.70%'!C9+'F.F.M.ESTIIMACIONES 2014'!C9</f>
        <v>891574.60171293782</v>
      </c>
      <c r="D6" s="604">
        <f>'F.F.M30%'!D9+'F.F.M.70%'!D9+'F.F.M.ESTIIMACIONES 2014'!D9</f>
        <v>1091294.1044060732</v>
      </c>
      <c r="E6" s="604">
        <f>'F.F.M30%'!E9+'F.F.M.70%'!E9+'F.F.M.ESTIIMACIONES 2014'!E9</f>
        <v>848409.11044672306</v>
      </c>
      <c r="F6" s="604">
        <f>'F.F.M30%'!F9+'F.F.M.70%'!F9+'F.F.M.ESTIIMACIONES 2014'!F9</f>
        <v>972995.92888504139</v>
      </c>
      <c r="G6" s="604">
        <f>'F.F.M30%'!G9+'F.F.M.70%'!G9+'F.F.M.ESTIIMACIONES 2014'!G9</f>
        <v>880711.87267109216</v>
      </c>
      <c r="H6" s="604">
        <f>'F.F.M30%'!H9+'F.F.M.70%'!H9+'F.F.M.ESTIIMACIONES 2014'!H9</f>
        <v>907852.30010686035</v>
      </c>
      <c r="I6" s="604">
        <f>'F.F.M30%'!I9+'F.F.M.70%'!I9+'F.F.M.ESTIIMACIONES 2014'!I9</f>
        <v>946964.58121718455</v>
      </c>
      <c r="J6" s="604">
        <f>'F.F.M30%'!J9+'F.F.M.70%'!J9+'F.F.M.ESTIIMACIONES 2014'!J9</f>
        <v>855549.68863439013</v>
      </c>
      <c r="K6" s="604">
        <f>'F.F.M30%'!K9+'F.F.M.70%'!K9+'F.F.M.ESTIIMACIONES 2014'!K9</f>
        <v>909695.83281178796</v>
      </c>
      <c r="L6" s="604">
        <f>'F.F.M30%'!L9+'F.F.M.70%'!L9+'F.F.M.ESTIIMACIONES 2014'!L9</f>
        <v>842255.58416145155</v>
      </c>
      <c r="M6" s="604">
        <f>'F.F.M30%'!M9+'F.F.M.70%'!M9+'F.F.M.ESTIIMACIONES 2014'!M9</f>
        <v>830774.35091814271</v>
      </c>
      <c r="N6" s="604">
        <f>'F.F.M30%'!N9+'F.F.M.70%'!N9+'F.F.M.ESTIIMACIONES 2014'!N9</f>
        <v>913600.67872119194</v>
      </c>
      <c r="O6" s="605">
        <f t="shared" si="0"/>
        <v>10891678.634692876</v>
      </c>
    </row>
    <row r="7" spans="1:15" ht="12.75" customHeight="1" x14ac:dyDescent="0.2">
      <c r="A7" s="602" t="s">
        <v>283</v>
      </c>
      <c r="B7" s="622"/>
      <c r="C7" s="604">
        <f>'F.F.M30%'!C10+'F.F.M.70%'!C10+'F.F.M.ESTIIMACIONES 2014'!C10</f>
        <v>3787971.1478492469</v>
      </c>
      <c r="D7" s="604">
        <f>'F.F.M30%'!D10+'F.F.M.70%'!D10+'F.F.M.ESTIIMACIONES 2014'!D10</f>
        <v>6967312.3080253378</v>
      </c>
      <c r="E7" s="604">
        <f>'F.F.M30%'!E10+'F.F.M.70%'!E10+'F.F.M.ESTIIMACIONES 2014'!E10</f>
        <v>2782299.7788184211</v>
      </c>
      <c r="F7" s="604">
        <f>'F.F.M30%'!F10+'F.F.M.70%'!F10+'F.F.M.ESTIIMACIONES 2014'!F10</f>
        <v>4623694.7176220641</v>
      </c>
      <c r="G7" s="604">
        <f>'F.F.M30%'!G10+'F.F.M.70%'!G10+'F.F.M.ESTIIMACIONES 2014'!G10</f>
        <v>6353129.6949379798</v>
      </c>
      <c r="H7" s="604">
        <f>'F.F.M30%'!H10+'F.F.M.70%'!H10+'F.F.M.ESTIIMACIONES 2014'!H10</f>
        <v>5305061.0788938757</v>
      </c>
      <c r="I7" s="604">
        <f>'F.F.M30%'!I10+'F.F.M.70%'!I10+'F.F.M.ESTIIMACIONES 2014'!I10</f>
        <v>3034046.7125495421</v>
      </c>
      <c r="J7" s="604">
        <f>'F.F.M30%'!J10+'F.F.M.70%'!J10+'F.F.M.ESTIIMACIONES 2014'!J10</f>
        <v>4350712.8981058439</v>
      </c>
      <c r="K7" s="604">
        <f>'F.F.M30%'!K10+'F.F.M.70%'!K10+'F.F.M.ESTIIMACIONES 2014'!K10</f>
        <v>2968038.7578980951</v>
      </c>
      <c r="L7" s="604">
        <f>'F.F.M30%'!L10+'F.F.M.70%'!L10+'F.F.M.ESTIIMACIONES 2014'!L10</f>
        <v>198203.64875330275</v>
      </c>
      <c r="M7" s="604">
        <f>'F.F.M30%'!M10+'F.F.M.70%'!M10+'F.F.M.ESTIIMACIONES 2014'!M10</f>
        <v>3312999.3116110479</v>
      </c>
      <c r="N7" s="604">
        <f>'F.F.M30%'!N10+'F.F.M.70%'!N10+'F.F.M.ESTIIMACIONES 2014'!N10</f>
        <v>2943159.7365911826</v>
      </c>
      <c r="O7" s="605">
        <f t="shared" si="0"/>
        <v>46626629.791655935</v>
      </c>
    </row>
    <row r="8" spans="1:15" ht="12.75" customHeight="1" x14ac:dyDescent="0.2">
      <c r="A8" s="602" t="s">
        <v>150</v>
      </c>
      <c r="B8" s="622"/>
      <c r="C8" s="604">
        <f>'F.F.M30%'!C11+'F.F.M.70%'!C11+'F.F.M.ESTIIMACIONES 2014'!C11</f>
        <v>2312604.3673079582</v>
      </c>
      <c r="D8" s="604">
        <f>'F.F.M30%'!D11+'F.F.M.70%'!D11+'F.F.M.ESTIIMACIONES 2014'!D11</f>
        <v>3292135.4009790057</v>
      </c>
      <c r="E8" s="604">
        <f>'F.F.M30%'!E11+'F.F.M.70%'!E11+'F.F.M.ESTIIMACIONES 2014'!E11</f>
        <v>2037832.416882454</v>
      </c>
      <c r="F8" s="604">
        <f>'F.F.M30%'!F11+'F.F.M.70%'!F11+'F.F.M.ESTIIMACIONES 2014'!F11</f>
        <v>2620775.7488692869</v>
      </c>
      <c r="G8" s="604">
        <f>'F.F.M30%'!G11+'F.F.M.70%'!G11+'F.F.M.ESTIIMACIONES 2014'!G11</f>
        <v>2801456.7201189701</v>
      </c>
      <c r="H8" s="604">
        <f>'F.F.M30%'!H11+'F.F.M.70%'!H11+'F.F.M.ESTIIMACIONES 2014'!H11</f>
        <v>2641510.6680954769</v>
      </c>
      <c r="I8" s="604">
        <f>'F.F.M30%'!I11+'F.F.M.70%'!I11+'F.F.M.ESTIIMACIONES 2014'!I11</f>
        <v>2260408.6972162761</v>
      </c>
      <c r="J8" s="604">
        <f>'F.F.M30%'!J11+'F.F.M.70%'!J11+'F.F.M.ESTIIMACIONES 2014'!J11</f>
        <v>2360886.4894448221</v>
      </c>
      <c r="K8" s="604">
        <f>'F.F.M30%'!K11+'F.F.M.70%'!K11+'F.F.M.ESTIIMACIONES 2014'!K11</f>
        <v>2182021.0097042196</v>
      </c>
      <c r="L8" s="604">
        <f>'F.F.M30%'!L11+'F.F.M.70%'!L11+'F.F.M.ESTIIMACIONES 2014'!L11</f>
        <v>1515407.2741689396</v>
      </c>
      <c r="M8" s="604">
        <f>'F.F.M30%'!M11+'F.F.M.70%'!M11+'F.F.M.ESTIIMACIONES 2014'!M11</f>
        <v>2112001.4781096573</v>
      </c>
      <c r="N8" s="604">
        <f>'F.F.M30%'!N11+'F.F.M.70%'!N11+'F.F.M.ESTIIMACIONES 2014'!N11</f>
        <v>2183938.8234880501</v>
      </c>
      <c r="O8" s="605">
        <f t="shared" si="0"/>
        <v>28320979.094385114</v>
      </c>
    </row>
    <row r="9" spans="1:15" ht="12.75" customHeight="1" x14ac:dyDescent="0.2">
      <c r="A9" s="602" t="s">
        <v>284</v>
      </c>
      <c r="B9" s="622"/>
      <c r="C9" s="604">
        <f>'F.F.M30%'!C12+'F.F.M.70%'!C12+'F.F.M.ESTIIMACIONES 2014'!C12</f>
        <v>738980.49407943257</v>
      </c>
      <c r="D9" s="604">
        <f>'F.F.M30%'!D12+'F.F.M.70%'!D12+'F.F.M.ESTIIMACIONES 2014'!D12</f>
        <v>1046292.4777330767</v>
      </c>
      <c r="E9" s="604">
        <f>'F.F.M30%'!E12+'F.F.M.70%'!E12+'F.F.M.ESTIIMACIONES 2014'!E12</f>
        <v>653186.62332762894</v>
      </c>
      <c r="F9" s="604">
        <f>'F.F.M30%'!F12+'F.F.M.70%'!F12+'F.F.M.ESTIIMACIONES 2014'!F12</f>
        <v>836258.92019187822</v>
      </c>
      <c r="G9" s="604">
        <f>'F.F.M30%'!G12+'F.F.M.70%'!G12+'F.F.M.ESTIIMACIONES 2014'!G12</f>
        <v>888813.69321625307</v>
      </c>
      <c r="H9" s="604">
        <f>'F.F.M30%'!H12+'F.F.M.70%'!H12+'F.F.M.ESTIIMACIONES 2014'!H12</f>
        <v>840544.82147425727</v>
      </c>
      <c r="I9" s="604">
        <f>'F.F.M30%'!I12+'F.F.M.70%'!I12+'F.F.M.ESTIIMACIONES 2014'!I12</f>
        <v>724717.46940578439</v>
      </c>
      <c r="J9" s="604">
        <f>'F.F.M30%'!J12+'F.F.M.70%'!J12+'F.F.M.ESTIIMACIONES 2014'!J12</f>
        <v>752660.76617864822</v>
      </c>
      <c r="K9" s="604">
        <f>'F.F.M30%'!K12+'F.F.M.70%'!K12+'F.F.M.ESTIIMACIONES 2014'!K12</f>
        <v>699443.61497358547</v>
      </c>
      <c r="L9" s="604">
        <f>'F.F.M30%'!L12+'F.F.M.70%'!L12+'F.F.M.ESTIIMACIONES 2014'!L12</f>
        <v>492495.11264993664</v>
      </c>
      <c r="M9" s="604">
        <f>'F.F.M30%'!M12+'F.F.M.70%'!M12+'F.F.M.ESTIIMACIONES 2014'!M12</f>
        <v>675407.98466172663</v>
      </c>
      <c r="N9" s="604">
        <f>'F.F.M30%'!N12+'F.F.M.70%'!N12+'F.F.M.ESTIIMACIONES 2014'!N12</f>
        <v>700157.71279974165</v>
      </c>
      <c r="O9" s="605">
        <f t="shared" si="0"/>
        <v>9048959.6906919479</v>
      </c>
    </row>
    <row r="10" spans="1:15" ht="12.75" customHeight="1" x14ac:dyDescent="0.2">
      <c r="A10" s="602" t="s">
        <v>152</v>
      </c>
      <c r="B10" s="622"/>
      <c r="C10" s="604">
        <f>'F.F.M30%'!C13+'F.F.M.70%'!C13+'F.F.M.ESTIIMACIONES 2014'!C13</f>
        <v>597714.79870588728</v>
      </c>
      <c r="D10" s="604">
        <f>'F.F.M30%'!D13+'F.F.M.70%'!D13+'F.F.M.ESTIIMACIONES 2014'!D13</f>
        <v>742141.61120571964</v>
      </c>
      <c r="E10" s="604">
        <f>'F.F.M30%'!E13+'F.F.M.70%'!E13+'F.F.M.ESTIIMACIONES 2014'!E13</f>
        <v>565060.19532823155</v>
      </c>
      <c r="F10" s="604">
        <f>'F.F.M30%'!F13+'F.F.M.70%'!F13+'F.F.M.ESTIIMACIONES 2014'!F13</f>
        <v>654513.58653914125</v>
      </c>
      <c r="G10" s="604">
        <f>'F.F.M30%'!G13+'F.F.M.70%'!G13+'F.F.M.ESTIIMACIONES 2014'!G13</f>
        <v>602234.27378796868</v>
      </c>
      <c r="H10" s="604">
        <f>'F.F.M30%'!H13+'F.F.M.70%'!H13+'F.F.M.ESTIIMACIONES 2014'!H13</f>
        <v>615171.39375122124</v>
      </c>
      <c r="I10" s="604">
        <f>'F.F.M30%'!I13+'F.F.M.70%'!I13+'F.F.M.ESTIIMACIONES 2014'!I13</f>
        <v>630377.46962291875</v>
      </c>
      <c r="J10" s="604">
        <f>'F.F.M30%'!J13+'F.F.M.70%'!J13+'F.F.M.ESTIIMACIONES 2014'!J13</f>
        <v>576798.63804196659</v>
      </c>
      <c r="K10" s="604">
        <f>'F.F.M30%'!K13+'F.F.M.70%'!K13+'F.F.M.ESTIIMACIONES 2014'!K13</f>
        <v>605809.66988051892</v>
      </c>
      <c r="L10" s="604">
        <f>'F.F.M30%'!L13+'F.F.M.70%'!L13+'F.F.M.ESTIIMACIONES 2014'!L13</f>
        <v>549374.11570415401</v>
      </c>
      <c r="M10" s="604">
        <f>'F.F.M30%'!M13+'F.F.M.70%'!M13+'F.F.M.ESTIIMACIONES 2014'!M13</f>
        <v>555974.91957574151</v>
      </c>
      <c r="N10" s="604">
        <f>'F.F.M30%'!N13+'F.F.M.70%'!N13+'F.F.M.ESTIIMACIONES 2014'!N13</f>
        <v>608240.07104622852</v>
      </c>
      <c r="O10" s="605">
        <f t="shared" si="0"/>
        <v>7303410.7431896972</v>
      </c>
    </row>
    <row r="11" spans="1:15" ht="12.75" customHeight="1" x14ac:dyDescent="0.2">
      <c r="A11" s="602" t="s">
        <v>153</v>
      </c>
      <c r="B11" s="622"/>
      <c r="C11" s="604">
        <f>'F.F.M30%'!C14+'F.F.M.70%'!C14+'F.F.M.ESTIIMACIONES 2014'!C14</f>
        <v>1316025.4085063164</v>
      </c>
      <c r="D11" s="604">
        <f>'F.F.M30%'!D14+'F.F.M.70%'!D14+'F.F.M.ESTIIMACIONES 2014'!D14</f>
        <v>1702633.0705030083</v>
      </c>
      <c r="E11" s="604">
        <f>'F.F.M30%'!E14+'F.F.M.70%'!E14+'F.F.M.ESTIIMACIONES 2014'!E14</f>
        <v>1219921.5728826234</v>
      </c>
      <c r="F11" s="604">
        <f>'F.F.M30%'!F14+'F.F.M.70%'!F14+'F.F.M.ESTIIMACIONES 2014'!F14</f>
        <v>1455501.3552826203</v>
      </c>
      <c r="G11" s="604">
        <f>'F.F.M30%'!G14+'F.F.M.70%'!G14+'F.F.M.ESTIIMACIONES 2014'!G14</f>
        <v>1402847.9469075906</v>
      </c>
      <c r="H11" s="604">
        <f>'F.F.M30%'!H14+'F.F.M.70%'!H14+'F.F.M.ESTIIMACIONES 2014'!H14</f>
        <v>1397084.8782784841</v>
      </c>
      <c r="I11" s="604">
        <f>'F.F.M30%'!I14+'F.F.M.70%'!I14+'F.F.M.ESTIIMACIONES 2014'!I14</f>
        <v>1358819.1078268755</v>
      </c>
      <c r="J11" s="604">
        <f>'F.F.M30%'!J14+'F.F.M.70%'!J14+'F.F.M.ESTIIMACIONES 2014'!J14</f>
        <v>1291044.677047831</v>
      </c>
      <c r="K11" s="604">
        <f>'F.F.M30%'!K14+'F.F.M.70%'!K14+'F.F.M.ESTIIMACIONES 2014'!K14</f>
        <v>1307444.7769551137</v>
      </c>
      <c r="L11" s="604">
        <f>'F.F.M30%'!L14+'F.F.M.70%'!L14+'F.F.M.ESTIIMACIONES 2014'!L14</f>
        <v>1110083.5932552572</v>
      </c>
      <c r="M11" s="604">
        <f>'F.F.M30%'!M14+'F.F.M.70%'!M14+'F.F.M.ESTIIMACIONES 2014'!M14</f>
        <v>1217746.2915406635</v>
      </c>
      <c r="N11" s="604">
        <f>'F.F.M30%'!N14+'F.F.M.70%'!N14+'F.F.M.ESTIIMACIONES 2014'!N14</f>
        <v>1311575.1685385446</v>
      </c>
      <c r="O11" s="605">
        <f t="shared" si="0"/>
        <v>16090727.847524928</v>
      </c>
    </row>
    <row r="12" spans="1:15" ht="12.75" customHeight="1" x14ac:dyDescent="0.2">
      <c r="A12" s="602" t="s">
        <v>154</v>
      </c>
      <c r="B12" s="622"/>
      <c r="C12" s="604">
        <f>'F.F.M30%'!C15+'F.F.M.70%'!C15+'F.F.M.ESTIIMACIONES 2014'!C15</f>
        <v>1102990.7696257094</v>
      </c>
      <c r="D12" s="604">
        <f>'F.F.M30%'!D15+'F.F.M.70%'!D15+'F.F.M.ESTIIMACIONES 2014'!D15</f>
        <v>1373907.2217877456</v>
      </c>
      <c r="E12" s="604">
        <f>'F.F.M30%'!E15+'F.F.M.70%'!E15+'F.F.M.ESTIIMACIONES 2014'!E15</f>
        <v>1041179.8208924319</v>
      </c>
      <c r="F12" s="604">
        <f>'F.F.M30%'!F15+'F.F.M.70%'!F15+'F.F.M.ESTIIMACIONES 2014'!F15</f>
        <v>1208728.5982850767</v>
      </c>
      <c r="G12" s="604">
        <f>'F.F.M30%'!G15+'F.F.M.70%'!G15+'F.F.M.ESTIIMACIONES 2014'!G15</f>
        <v>1116259.1389467306</v>
      </c>
      <c r="H12" s="604">
        <f>'F.F.M30%'!H15+'F.F.M.70%'!H15+'F.F.M.ESTIIMACIONES 2014'!H15</f>
        <v>1137936.9401722811</v>
      </c>
      <c r="I12" s="604">
        <f>'F.F.M30%'!I15+'F.F.M.70%'!I15+'F.F.M.ESTIIMACIONES 2014'!I15</f>
        <v>1161397.6666648383</v>
      </c>
      <c r="J12" s="604">
        <f>'F.F.M30%'!J15+'F.F.M.70%'!J15+'F.F.M.ESTIIMACIONES 2014'!J15</f>
        <v>1065744.1497382857</v>
      </c>
      <c r="K12" s="604">
        <f>'F.F.M30%'!K15+'F.F.M.70%'!K15+'F.F.M.ESTIIMACIONES 2014'!K15</f>
        <v>1116235.8313336452</v>
      </c>
      <c r="L12" s="604">
        <f>'F.F.M30%'!L15+'F.F.M.70%'!L15+'F.F.M.ESTIIMACIONES 2014'!L15</f>
        <v>1007405.9035107511</v>
      </c>
      <c r="M12" s="604">
        <f>'F.F.M30%'!M15+'F.F.M.70%'!M15+'F.F.M.ESTIIMACIONES 2014'!M15</f>
        <v>1025557.344641229</v>
      </c>
      <c r="N12" s="604">
        <f>'F.F.M30%'!N15+'F.F.M.70%'!N15+'F.F.M.ESTIIMACIONES 2014'!N15</f>
        <v>1120642.4973422296</v>
      </c>
      <c r="O12" s="605">
        <f t="shared" si="0"/>
        <v>13477985.882940954</v>
      </c>
    </row>
    <row r="13" spans="1:15" ht="12.75" customHeight="1" x14ac:dyDescent="0.2">
      <c r="A13" s="602" t="s">
        <v>155</v>
      </c>
      <c r="B13" s="622"/>
      <c r="C13" s="604">
        <f>'F.F.M30%'!C16+'F.F.M.70%'!C16+'F.F.M.ESTIIMACIONES 2014'!C16</f>
        <v>626225.92846399569</v>
      </c>
      <c r="D13" s="604">
        <f>'F.F.M30%'!D16+'F.F.M.70%'!D16+'F.F.M.ESTIIMACIONES 2014'!D16</f>
        <v>778522.13122246903</v>
      </c>
      <c r="E13" s="604">
        <f>'F.F.M30%'!E16+'F.F.M.70%'!E16+'F.F.M.ESTIIMACIONES 2014'!E16</f>
        <v>591667.89224101277</v>
      </c>
      <c r="F13" s="604">
        <f>'F.F.M30%'!F16+'F.F.M.70%'!F16+'F.F.M.ESTIIMACIONES 2014'!F16</f>
        <v>685940.00965624512</v>
      </c>
      <c r="G13" s="604">
        <f>'F.F.M30%'!G16+'F.F.M.70%'!G16+'F.F.M.ESTIIMACIONES 2014'!G16</f>
        <v>632059.14559873682</v>
      </c>
      <c r="H13" s="604">
        <f>'F.F.M30%'!H16+'F.F.M.70%'!H16+'F.F.M.ESTIIMACIONES 2014'!H16</f>
        <v>645124.12124647864</v>
      </c>
      <c r="I13" s="604">
        <f>'F.F.M30%'!I16+'F.F.M.70%'!I16+'F.F.M.ESTIIMACIONES 2014'!I16</f>
        <v>660030.5937531587</v>
      </c>
      <c r="J13" s="604">
        <f>'F.F.M30%'!J16+'F.F.M.70%'!J16+'F.F.M.ESTIIMACIONES 2014'!J16</f>
        <v>604613.08452326513</v>
      </c>
      <c r="K13" s="604">
        <f>'F.F.M30%'!K16+'F.F.M.70%'!K16+'F.F.M.ESTIIMACIONES 2014'!K16</f>
        <v>634329.73431970051</v>
      </c>
      <c r="L13" s="604">
        <f>'F.F.M30%'!L16+'F.F.M.70%'!L16+'F.F.M.ESTIIMACIONES 2014'!L16</f>
        <v>574157.86031828553</v>
      </c>
      <c r="M13" s="604">
        <f>'F.F.M30%'!M16+'F.F.M.70%'!M16+'F.F.M.ESTIIMACIONES 2014'!M16</f>
        <v>582403.9359285176</v>
      </c>
      <c r="N13" s="604">
        <f>'F.F.M30%'!N16+'F.F.M.70%'!N16+'F.F.M.ESTIIMACIONES 2014'!N16</f>
        <v>636858.62665251666</v>
      </c>
      <c r="O13" s="605">
        <f t="shared" si="0"/>
        <v>7651933.0639243824</v>
      </c>
    </row>
    <row r="14" spans="1:15" ht="12.75" customHeight="1" x14ac:dyDescent="0.2">
      <c r="A14" s="602" t="s">
        <v>156</v>
      </c>
      <c r="B14" s="622"/>
      <c r="C14" s="604">
        <f>'F.F.M30%'!C17+'F.F.M.70%'!C17+'F.F.M.ESTIIMACIONES 2014'!C17</f>
        <v>1971114.0953450492</v>
      </c>
      <c r="D14" s="604">
        <f>'F.F.M30%'!D17+'F.F.M.70%'!D17+'F.F.M.ESTIIMACIONES 2014'!D17</f>
        <v>3172535.8505462487</v>
      </c>
      <c r="E14" s="604">
        <f>'F.F.M30%'!E17+'F.F.M.70%'!E17+'F.F.M.ESTIIMACIONES 2014'!E17</f>
        <v>1607608.4072201753</v>
      </c>
      <c r="F14" s="604">
        <f>'F.F.M30%'!F17+'F.F.M.70%'!F17+'F.F.M.ESTIIMACIONES 2014'!F17</f>
        <v>2310802.4449213175</v>
      </c>
      <c r="G14" s="604">
        <f>'F.F.M30%'!G17+'F.F.M.70%'!G17+'F.F.M.ESTIIMACIONES 2014'!G17</f>
        <v>2798423.9557797038</v>
      </c>
      <c r="H14" s="604">
        <f>'F.F.M30%'!H17+'F.F.M.70%'!H17+'F.F.M.ESTIIMACIONES 2014'!H17</f>
        <v>2479148.2775638793</v>
      </c>
      <c r="I14" s="604">
        <f>'F.F.M30%'!I17+'F.F.M.70%'!I17+'F.F.M.ESTIIMACIONES 2014'!I17</f>
        <v>1771059.603956358</v>
      </c>
      <c r="J14" s="604">
        <f>'F.F.M30%'!J17+'F.F.M.70%'!J17+'F.F.M.ESTIIMACIONES 2014'!J17</f>
        <v>2124830.1114007886</v>
      </c>
      <c r="K14" s="604">
        <f>'F.F.M30%'!K17+'F.F.M.70%'!K17+'F.F.M.ESTIIMACIONES 2014'!K17</f>
        <v>1718766.9526454739</v>
      </c>
      <c r="L14" s="604">
        <f>'F.F.M30%'!L17+'F.F.M.70%'!L17+'F.F.M.ESTIIMACIONES 2014'!L17</f>
        <v>760074.16505623725</v>
      </c>
      <c r="M14" s="604">
        <f>'F.F.M30%'!M17+'F.F.M.70%'!M17+'F.F.M.ESTIIMACIONES 2014'!M17</f>
        <v>1766063.0808116235</v>
      </c>
      <c r="N14" s="604">
        <f>'F.F.M30%'!N17+'F.F.M.70%'!N17+'F.F.M.ESTIIMACIONES 2014'!N17</f>
        <v>1713880.2879973366</v>
      </c>
      <c r="O14" s="605">
        <f t="shared" si="0"/>
        <v>24194307.233244188</v>
      </c>
    </row>
    <row r="15" spans="1:15" ht="12.75" customHeight="1" x14ac:dyDescent="0.2">
      <c r="A15" s="602" t="s">
        <v>157</v>
      </c>
      <c r="B15" s="622"/>
      <c r="C15" s="604">
        <f>'F.F.M30%'!C18+'F.F.M.70%'!C18+'F.F.M.ESTIIMACIONES 2014'!C18</f>
        <v>1294270.0366785906</v>
      </c>
      <c r="D15" s="604">
        <f>'F.F.M30%'!D18+'F.F.M.70%'!D18+'F.F.M.ESTIIMACIONES 2014'!D18</f>
        <v>1601419.6348711094</v>
      </c>
      <c r="E15" s="604">
        <f>'F.F.M30%'!E18+'F.F.M.70%'!E18+'F.F.M.ESTIIMACIONES 2014'!E18</f>
        <v>1225531.9578955024</v>
      </c>
      <c r="F15" s="604">
        <f>'F.F.M30%'!F18+'F.F.M.70%'!F18+'F.F.M.ESTIIMACIONES 2014'!F18</f>
        <v>1416086.0302503728</v>
      </c>
      <c r="G15" s="604">
        <f>'F.F.M30%'!G18+'F.F.M.70%'!G18+'F.F.M.ESTIIMACIONES 2014'!G18</f>
        <v>1297796.9653630459</v>
      </c>
      <c r="H15" s="604">
        <f>'F.F.M30%'!H18+'F.F.M.70%'!H18+'F.F.M.ESTIIMACIONES 2014'!H18</f>
        <v>1328599.185979618</v>
      </c>
      <c r="I15" s="604">
        <f>'F.F.M30%'!I18+'F.F.M.70%'!I18+'F.F.M.ESTIIMACIONES 2014'!I18</f>
        <v>1367367.8772172274</v>
      </c>
      <c r="J15" s="604">
        <f>'F.F.M30%'!J18+'F.F.M.70%'!J18+'F.F.M.ESTIIMACIONES 2014'!J18</f>
        <v>1247263.1504776836</v>
      </c>
      <c r="K15" s="604">
        <f>'F.F.M30%'!K18+'F.F.M.70%'!K18+'F.F.M.ESTIIMACIONES 2014'!K18</f>
        <v>1313948.3259144251</v>
      </c>
      <c r="L15" s="604">
        <f>'F.F.M30%'!L18+'F.F.M.70%'!L18+'F.F.M.ESTIIMACIONES 2014'!L18</f>
        <v>1197697.3660444061</v>
      </c>
      <c r="M15" s="604">
        <f>'F.F.M30%'!M18+'F.F.M.70%'!M18+'F.F.M.ESTIIMACIONES 2014'!M18</f>
        <v>1204407.3353920358</v>
      </c>
      <c r="N15" s="604">
        <f>'F.F.M30%'!N18+'F.F.M.70%'!N18+'F.F.M.ESTIIMACIONES 2014'!N18</f>
        <v>1319310.4317460121</v>
      </c>
      <c r="O15" s="605">
        <f t="shared" si="0"/>
        <v>15813698.297830028</v>
      </c>
    </row>
    <row r="16" spans="1:15" ht="12.75" customHeight="1" x14ac:dyDescent="0.2">
      <c r="A16" s="602" t="s">
        <v>158</v>
      </c>
      <c r="B16" s="622"/>
      <c r="C16" s="604">
        <f>'F.F.M30%'!C19+'F.F.M.70%'!C19+'F.F.M.ESTIIMACIONES 2014'!C19</f>
        <v>1865678.1382377581</v>
      </c>
      <c r="D16" s="604">
        <f>'F.F.M30%'!D19+'F.F.M.70%'!D19+'F.F.M.ESTIIMACIONES 2014'!D19</f>
        <v>2344650.8136770995</v>
      </c>
      <c r="E16" s="604">
        <f>'F.F.M30%'!E19+'F.F.M.70%'!E19+'F.F.M.ESTIIMACIONES 2014'!E19</f>
        <v>1753815.1242423099</v>
      </c>
      <c r="F16" s="604">
        <f>'F.F.M30%'!F19+'F.F.M.70%'!F19+'F.F.M.ESTIIMACIONES 2014'!F19</f>
        <v>2048885.8778985599</v>
      </c>
      <c r="G16" s="604">
        <f>'F.F.M30%'!G19+'F.F.M.70%'!G19+'F.F.M.ESTIIMACIONES 2014'!G19</f>
        <v>1911340.4429478864</v>
      </c>
      <c r="H16" s="604">
        <f>'F.F.M30%'!H19+'F.F.M.70%'!H19+'F.F.M.ESTIIMACIONES 2014'!H19</f>
        <v>1937663.3217777463</v>
      </c>
      <c r="I16" s="604">
        <f>'F.F.M30%'!I19+'F.F.M.70%'!I19+'F.F.M.ESTIIMACIONES 2014'!I19</f>
        <v>1955675.5177287585</v>
      </c>
      <c r="J16" s="604">
        <f>'F.F.M30%'!J19+'F.F.M.70%'!J19+'F.F.M.ESTIIMACIONES 2014'!J19</f>
        <v>1809041.2486600238</v>
      </c>
      <c r="K16" s="604">
        <f>'F.F.M30%'!K19+'F.F.M.70%'!K19+'F.F.M.ESTIIMACIONES 2014'!K19</f>
        <v>1880106.5397948718</v>
      </c>
      <c r="L16" s="604">
        <f>'F.F.M30%'!L19+'F.F.M.70%'!L19+'F.F.M.ESTIIMACIONES 2014'!L19</f>
        <v>1673942.7066517074</v>
      </c>
      <c r="M16" s="604">
        <f>'F.F.M30%'!M19+'F.F.M.70%'!M19+'F.F.M.ESTIIMACIONES 2014'!M19</f>
        <v>1732775.2159489156</v>
      </c>
      <c r="N16" s="604">
        <f>'F.F.M30%'!N19+'F.F.M.70%'!N19+'F.F.M.ESTIIMACIONES 2014'!N19</f>
        <v>1887191.5563838352</v>
      </c>
      <c r="O16" s="605">
        <f t="shared" si="0"/>
        <v>22800766.503949471</v>
      </c>
    </row>
    <row r="17" spans="1:15" ht="12.75" customHeight="1" x14ac:dyDescent="0.2">
      <c r="A17" s="602" t="s">
        <v>285</v>
      </c>
      <c r="B17" s="622"/>
      <c r="C17" s="604">
        <f>'F.F.M30%'!C20+'F.F.M.70%'!C20+'F.F.M.ESTIIMACIONES 2014'!C20</f>
        <v>799258.89185782371</v>
      </c>
      <c r="D17" s="604">
        <f>'F.F.M30%'!D20+'F.F.M.70%'!D20+'F.F.M.ESTIIMACIONES 2014'!D20</f>
        <v>964735.70088222844</v>
      </c>
      <c r="E17" s="604">
        <f>'F.F.M30%'!E20+'F.F.M.70%'!E20+'F.F.M.ESTIIMACIONES 2014'!E20</f>
        <v>765347.79497987602</v>
      </c>
      <c r="F17" s="604">
        <f>'F.F.M30%'!F20+'F.F.M.70%'!F20+'F.F.M.ESTIIMACIONES 2014'!F20</f>
        <v>869399.48701900546</v>
      </c>
      <c r="G17" s="604">
        <f>'F.F.M30%'!G20+'F.F.M.70%'!G20+'F.F.M.ESTIIMACIONES 2014'!G20</f>
        <v>774325.35684507526</v>
      </c>
      <c r="H17" s="604">
        <f>'F.F.M30%'!H20+'F.F.M.70%'!H20+'F.F.M.ESTIIMACIONES 2014'!H20</f>
        <v>805425.45252738125</v>
      </c>
      <c r="I17" s="604">
        <f>'F.F.M30%'!I20+'F.F.M.70%'!I20+'F.F.M.ESTIIMACIONES 2014'!I20</f>
        <v>854670.27481695742</v>
      </c>
      <c r="J17" s="604">
        <f>'F.F.M30%'!J20+'F.F.M.70%'!J20+'F.F.M.ESTIIMACIONES 2014'!J20</f>
        <v>762798.75761464587</v>
      </c>
      <c r="K17" s="604">
        <f>'F.F.M30%'!K20+'F.F.M.70%'!K20+'F.F.M.ESTIIMACIONES 2014'!K20</f>
        <v>820723.12039121194</v>
      </c>
      <c r="L17" s="604">
        <f>'F.F.M30%'!L20+'F.F.M.70%'!L20+'F.F.M.ESTIIMACIONES 2014'!L20</f>
        <v>774716.4789639886</v>
      </c>
      <c r="M17" s="604">
        <f>'F.F.M30%'!M20+'F.F.M.70%'!M20+'F.F.M.ESTIIMACIONES 2014'!M20</f>
        <v>746014.77889171708</v>
      </c>
      <c r="N17" s="604">
        <f>'F.F.M30%'!N20+'F.F.M.70%'!N20+'F.F.M.ESTIIMACIONES 2014'!N20</f>
        <v>824464.96460116666</v>
      </c>
      <c r="O17" s="605">
        <f t="shared" si="0"/>
        <v>9761881.0593910776</v>
      </c>
    </row>
    <row r="18" spans="1:15" ht="12.75" customHeight="1" x14ac:dyDescent="0.2">
      <c r="A18" s="602" t="s">
        <v>286</v>
      </c>
      <c r="B18" s="622"/>
      <c r="C18" s="604">
        <f>'F.F.M30%'!C21+'F.F.M.70%'!C21+'F.F.M.ESTIIMACIONES 2014'!C21</f>
        <v>1120225.4280381524</v>
      </c>
      <c r="D18" s="604">
        <f>'F.F.M30%'!D21+'F.F.M.70%'!D21+'F.F.M.ESTIIMACIONES 2014'!D21</f>
        <v>1409810.8085720586</v>
      </c>
      <c r="E18" s="604">
        <f>'F.F.M30%'!E21+'F.F.M.70%'!E21+'F.F.M.ESTIIMACIONES 2014'!E21</f>
        <v>1052355.9203430342</v>
      </c>
      <c r="F18" s="604">
        <f>'F.F.M30%'!F21+'F.F.M.70%'!F21+'F.F.M.ESTIIMACIONES 2014'!F21</f>
        <v>1230648.9724651594</v>
      </c>
      <c r="G18" s="604">
        <f>'F.F.M30%'!G21+'F.F.M.70%'!G21+'F.F.M.ESTIIMACIONES 2014'!G21</f>
        <v>1149874.161207119</v>
      </c>
      <c r="H18" s="604">
        <f>'F.F.M30%'!H21+'F.F.M.70%'!H21+'F.F.M.ESTIIMACIONES 2014'!H21</f>
        <v>1164685.3520696636</v>
      </c>
      <c r="I18" s="604">
        <f>'F.F.M30%'!I21+'F.F.M.70%'!I21+'F.F.M.ESTIIMACIONES 2014'!I21</f>
        <v>1173418.0400329162</v>
      </c>
      <c r="J18" s="604">
        <f>'F.F.M30%'!J21+'F.F.M.70%'!J21+'F.F.M.ESTIIMACIONES 2014'!J21</f>
        <v>1086830.0819606746</v>
      </c>
      <c r="K18" s="604">
        <f>'F.F.M30%'!K21+'F.F.M.70%'!K21+'F.F.M.ESTIIMACIONES 2014'!K21</f>
        <v>1128122.3952524536</v>
      </c>
      <c r="L18" s="604">
        <f>'F.F.M30%'!L21+'F.F.M.70%'!L21+'F.F.M.ESTIIMACIONES 2014'!L21</f>
        <v>1002211.7037465984</v>
      </c>
      <c r="M18" s="604">
        <f>'F.F.M30%'!M21+'F.F.M.70%'!M21+'F.F.M.ESTIIMACIONES 2014'!M21</f>
        <v>1040240.2381397266</v>
      </c>
      <c r="N18" s="604">
        <f>'F.F.M30%'!N21+'F.F.M.70%'!N21+'F.F.M.ESTIIMACIONES 2014'!N21</f>
        <v>1132341.078949752</v>
      </c>
      <c r="O18" s="605">
        <f t="shared" si="0"/>
        <v>13690764.180777308</v>
      </c>
    </row>
    <row r="19" spans="1:15" ht="12.75" customHeight="1" x14ac:dyDescent="0.2">
      <c r="A19" s="602" t="s">
        <v>287</v>
      </c>
      <c r="B19" s="622"/>
      <c r="C19" s="604">
        <f>'F.F.M30%'!C22+'F.F.M.70%'!C22+'F.F.M.ESTIIMACIONES 2014'!C22</f>
        <v>6042843.6752944309</v>
      </c>
      <c r="D19" s="604">
        <f>'F.F.M30%'!D22+'F.F.M.70%'!D22+'F.F.M.ESTIIMACIONES 2014'!D22</f>
        <v>9846567.4331765994</v>
      </c>
      <c r="E19" s="604">
        <f>'F.F.M30%'!E22+'F.F.M.70%'!E22+'F.F.M.ESTIIMACIONES 2014'!E22</f>
        <v>4885924.641369286</v>
      </c>
      <c r="F19" s="604">
        <f>'F.F.M30%'!F22+'F.F.M.70%'!F22+'F.F.M.ESTIIMACIONES 2014'!F22</f>
        <v>7109553.28621352</v>
      </c>
      <c r="G19" s="604">
        <f>'F.F.M30%'!G22+'F.F.M.70%'!G22+'F.F.M.ESTIIMACIONES 2014'!G22</f>
        <v>8714157.533350613</v>
      </c>
      <c r="H19" s="604">
        <f>'F.F.M30%'!H22+'F.F.M.70%'!H22+'F.F.M.ESTIIMACIONES 2014'!H22</f>
        <v>7675196.1483538914</v>
      </c>
      <c r="I19" s="604">
        <f>'F.F.M30%'!I22+'F.F.M.70%'!I22+'F.F.M.ESTIIMACIONES 2014'!I22</f>
        <v>5378382.4633756671</v>
      </c>
      <c r="J19" s="604">
        <f>'F.F.M30%'!J22+'F.F.M.70%'!J22+'F.F.M.ESTIIMACIONES 2014'!J22</f>
        <v>6551104.5967272073</v>
      </c>
      <c r="K19" s="604">
        <f>'F.F.M30%'!K22+'F.F.M.70%'!K22+'F.F.M.ESTIIMACIONES 2014'!K22</f>
        <v>5222843.4353948887</v>
      </c>
      <c r="L19" s="604">
        <f>'F.F.M30%'!L22+'F.F.M.70%'!L22+'F.F.M.ESTIIMACIONES 2014'!L22</f>
        <v>2155368.046918083</v>
      </c>
      <c r="M19" s="604">
        <f>'F.F.M30%'!M22+'F.F.M.70%'!M22+'F.F.M.ESTIIMACIONES 2014'!M22</f>
        <v>5403015.7253072914</v>
      </c>
      <c r="N19" s="604">
        <f>'F.F.M30%'!N22+'F.F.M.70%'!N22+'F.F.M.ESTIIMACIONES 2014'!N22</f>
        <v>5205718.0215589777</v>
      </c>
      <c r="O19" s="605">
        <f t="shared" si="0"/>
        <v>74190675.007040441</v>
      </c>
    </row>
    <row r="20" spans="1:15" ht="12.75" customHeight="1" x14ac:dyDescent="0.2">
      <c r="A20" s="602" t="s">
        <v>162</v>
      </c>
      <c r="B20" s="622"/>
      <c r="C20" s="604">
        <f>'F.F.M30%'!C23+'F.F.M.70%'!C23+'F.F.M.ESTIIMACIONES 2014'!C23</f>
        <v>1425548.9825605552</v>
      </c>
      <c r="D20" s="604">
        <f>'F.F.M30%'!D23+'F.F.M.70%'!D23+'F.F.M.ESTIIMACIONES 2014'!D23</f>
        <v>1819010.3655521974</v>
      </c>
      <c r="E20" s="604">
        <f>'F.F.M30%'!E23+'F.F.M.70%'!E23+'F.F.M.ESTIIMACIONES 2014'!E23</f>
        <v>1330379.978673981</v>
      </c>
      <c r="F20" s="604">
        <f>'F.F.M30%'!F23+'F.F.M.70%'!F23+'F.F.M.ESTIIMACIONES 2014'!F23</f>
        <v>1571311.6099759541</v>
      </c>
      <c r="G20" s="604">
        <f>'F.F.M30%'!G23+'F.F.M.70%'!G23+'F.F.M.ESTIIMACIONES 2014'!G23</f>
        <v>1491228.9518766634</v>
      </c>
      <c r="H20" s="604">
        <f>'F.F.M30%'!H23+'F.F.M.70%'!H23+'F.F.M.ESTIIMACIONES 2014'!H23</f>
        <v>1497624.7263709409</v>
      </c>
      <c r="I20" s="604">
        <f>'F.F.M30%'!I23+'F.F.M.70%'!I23+'F.F.M.ESTIIMACIONES 2014'!I23</f>
        <v>1482650.9718827151</v>
      </c>
      <c r="J20" s="604">
        <f>'F.F.M30%'!J23+'F.F.M.70%'!J23+'F.F.M.ESTIIMACIONES 2014'!J23</f>
        <v>1390713.1415682705</v>
      </c>
      <c r="K20" s="604">
        <f>'F.F.M30%'!K23+'F.F.M.70%'!K23+'F.F.M.ESTIIMACIONES 2014'!K23</f>
        <v>1425998.0456010986</v>
      </c>
      <c r="L20" s="604">
        <f>'F.F.M30%'!L23+'F.F.M.70%'!L23+'F.F.M.ESTIIMACIONES 2014'!L23</f>
        <v>1239189.4926754246</v>
      </c>
      <c r="M20" s="604">
        <f>'F.F.M30%'!M23+'F.F.M.70%'!M23+'F.F.M.ESTIIMACIONES 2014'!M23</f>
        <v>1321444.4235358983</v>
      </c>
      <c r="N20" s="604">
        <f>'F.F.M30%'!N23+'F.F.M.70%'!N23+'F.F.M.ESTIIMACIONES 2014'!N23</f>
        <v>1430922.6858189199</v>
      </c>
      <c r="O20" s="605">
        <f t="shared" si="0"/>
        <v>17426023.37609262</v>
      </c>
    </row>
    <row r="21" spans="1:15" ht="12.75" customHeight="1" x14ac:dyDescent="0.2">
      <c r="A21" s="602" t="s">
        <v>163</v>
      </c>
      <c r="B21" s="622"/>
      <c r="C21" s="604">
        <f>'F.F.M30%'!C24+'F.F.M.70%'!C24+'F.F.M.ESTIIMACIONES 2014'!C24</f>
        <v>17155544.623890899</v>
      </c>
      <c r="D21" s="604">
        <f>'F.F.M30%'!D24+'F.F.M.70%'!D24+'F.F.M.ESTIIMACIONES 2014'!D24</f>
        <v>22916445.324299816</v>
      </c>
      <c r="E21" s="604">
        <f>'F.F.M30%'!E24+'F.F.M.70%'!E24+'F.F.M.ESTIIMACIONES 2014'!E24</f>
        <v>15648341.626453416</v>
      </c>
      <c r="F21" s="604">
        <f>'F.F.M30%'!F24+'F.F.M.70%'!F24+'F.F.M.ESTIIMACIONES 2014'!F24</f>
        <v>19125273.893982656</v>
      </c>
      <c r="G21" s="604">
        <f>'F.F.M30%'!G24+'F.F.M.70%'!G24+'F.F.M.ESTIIMACIONES 2014'!G24</f>
        <v>19095268.79455094</v>
      </c>
      <c r="H21" s="604">
        <f>'F.F.M30%'!H24+'F.F.M.70%'!H24+'F.F.M.ESTIIMACIONES 2014'!H24</f>
        <v>18660203.204113428</v>
      </c>
      <c r="I21" s="604">
        <f>'F.F.M30%'!I24+'F.F.M.70%'!I24+'F.F.M.ESTIIMACIONES 2014'!I24</f>
        <v>17407330.950052455</v>
      </c>
      <c r="J21" s="604">
        <f>'F.F.M30%'!J24+'F.F.M.70%'!J24+'F.F.M.ESTIIMACIONES 2014'!J24</f>
        <v>17051360.553907387</v>
      </c>
      <c r="K21" s="604">
        <f>'F.F.M30%'!K24+'F.F.M.70%'!K24+'F.F.M.ESTIIMACIONES 2014'!K24</f>
        <v>16766188.592434762</v>
      </c>
      <c r="L21" s="604">
        <f>'F.F.M30%'!L24+'F.F.M.70%'!L24+'F.F.M.ESTIIMACIONES 2014'!L24</f>
        <v>13425099.562606337</v>
      </c>
      <c r="M21" s="604">
        <f>'F.F.M30%'!M24+'F.F.M.70%'!M24+'F.F.M.ESTIIMACIONES 2014'!M24</f>
        <v>15807359.358710429</v>
      </c>
      <c r="N21" s="604">
        <f>'F.F.M30%'!N24+'F.F.M.70%'!N24+'F.F.M.ESTIIMACIONES 2014'!N24</f>
        <v>16807201.641906034</v>
      </c>
      <c r="O21" s="605">
        <f t="shared" si="0"/>
        <v>209865618.12690857</v>
      </c>
    </row>
    <row r="22" spans="1:15" ht="12.75" customHeight="1" x14ac:dyDescent="0.2">
      <c r="A22" s="602" t="s">
        <v>164</v>
      </c>
      <c r="B22" s="622"/>
      <c r="C22" s="604">
        <f>'F.F.M30%'!C25+'F.F.M.70%'!C25+'F.F.M.ESTIIMACIONES 2014'!C25</f>
        <v>2228601.8656931627</v>
      </c>
      <c r="D22" s="604">
        <f>'F.F.M30%'!D25+'F.F.M.70%'!D25+'F.F.M.ESTIIMACIONES 2014'!D25</f>
        <v>3396600.7403670503</v>
      </c>
      <c r="E22" s="604">
        <f>'F.F.M30%'!E25+'F.F.M.70%'!E25+'F.F.M.ESTIIMACIONES 2014'!E25</f>
        <v>1884769.5251807238</v>
      </c>
      <c r="F22" s="604">
        <f>'F.F.M30%'!F25+'F.F.M.70%'!F25+'F.F.M.ESTIIMACIONES 2014'!F25</f>
        <v>2572660.6434615422</v>
      </c>
      <c r="G22" s="604">
        <f>'F.F.M30%'!G25+'F.F.M.70%'!G25+'F.F.M.ESTIIMACIONES 2014'!G25</f>
        <v>2950708.6721700476</v>
      </c>
      <c r="H22" s="604">
        <f>'F.F.M30%'!H25+'F.F.M.70%'!H25+'F.F.M.ESTIIMACIONES 2014'!H25</f>
        <v>2684743.0780438269</v>
      </c>
      <c r="I22" s="604">
        <f>'F.F.M30%'!I25+'F.F.M.70%'!I25+'F.F.M.ESTIIMACIONES 2014'!I25</f>
        <v>2083210.2043724612</v>
      </c>
      <c r="J22" s="604">
        <f>'F.F.M30%'!J25+'F.F.M.70%'!J25+'F.F.M.ESTIIMACIONES 2014'!J25</f>
        <v>2343936.0949738594</v>
      </c>
      <c r="K22" s="604">
        <f>'F.F.M30%'!K25+'F.F.M.70%'!K25+'F.F.M.ESTIIMACIONES 2014'!K25</f>
        <v>2016545.3530660092</v>
      </c>
      <c r="L22" s="604">
        <f>'F.F.M30%'!L25+'F.F.M.70%'!L25+'F.F.M.ESTIIMACIONES 2014'!L25</f>
        <v>1135438.4599135336</v>
      </c>
      <c r="M22" s="604">
        <f>'F.F.M30%'!M25+'F.F.M.70%'!M25+'F.F.M.ESTIIMACIONES 2014'!M25</f>
        <v>2014459.8257937364</v>
      </c>
      <c r="N22" s="604">
        <f>'F.F.M30%'!N25+'F.F.M.70%'!N25+'F.F.M.ESTIIMACIONES 2014'!N25</f>
        <v>2014407.2836308014</v>
      </c>
      <c r="O22" s="605">
        <f t="shared" si="0"/>
        <v>27326081.746666752</v>
      </c>
    </row>
    <row r="23" spans="1:15" ht="12.75" customHeight="1" thickBot="1" x14ac:dyDescent="0.25">
      <c r="A23" s="602" t="s">
        <v>165</v>
      </c>
      <c r="B23" s="622"/>
      <c r="C23" s="604">
        <f>'F.F.M30%'!C26+'F.F.M.70%'!C26+'F.F.M.ESTIIMACIONES 2014'!C26</f>
        <v>1620143.6585719257</v>
      </c>
      <c r="D23" s="604">
        <f>'F.F.M30%'!D26+'F.F.M.70%'!D26+'F.F.M.ESTIIMACIONES 2014'!D26</f>
        <v>2355904.9827394364</v>
      </c>
      <c r="E23" s="604">
        <f>'F.F.M30%'!E26+'F.F.M.70%'!E26+'F.F.M.ESTIIMACIONES 2014'!E26</f>
        <v>1410172.7850307776</v>
      </c>
      <c r="F23" s="604">
        <f>'F.F.M30%'!F26+'F.F.M.70%'!F26+'F.F.M.ESTIIMACIONES 2014'!F26</f>
        <v>1846447.863157182</v>
      </c>
      <c r="G23" s="604">
        <f>'F.F.M30%'!G26+'F.F.M.70%'!G26+'F.F.M.ESTIIMACIONES 2014'!G26</f>
        <v>2018110.4781703856</v>
      </c>
      <c r="H23" s="604">
        <f>'F.F.M30%'!H26+'F.F.M.70%'!H26+'F.F.M.ESTIIMACIONES 2014'!H26</f>
        <v>1881334.817499382</v>
      </c>
      <c r="I23" s="604">
        <f>'F.F.M30%'!I26+'F.F.M.70%'!I26+'F.F.M.ESTIIMACIONES 2014'!I26</f>
        <v>1562554.9386509408</v>
      </c>
      <c r="J23" s="604">
        <f>'F.F.M30%'!J26+'F.F.M.70%'!J26+'F.F.M.ESTIIMACIONES 2014'!J26</f>
        <v>1669179.6135674531</v>
      </c>
      <c r="K23" s="604">
        <f>'F.F.M30%'!K26+'F.F.M.70%'!K26+'F.F.M.ESTIIMACIONES 2014'!K26</f>
        <v>1509600.8985732454</v>
      </c>
      <c r="L23" s="604">
        <f>'F.F.M30%'!L26+'F.F.M.70%'!L26+'F.F.M.ESTIIMACIONES 2014'!L26</f>
        <v>989819.71642413398</v>
      </c>
      <c r="M23" s="604">
        <f>'F.F.M30%'!M26+'F.F.M.70%'!M26+'F.F.M.ESTIIMACIONES 2014'!M26</f>
        <v>1475003.1289001936</v>
      </c>
      <c r="N23" s="604">
        <f>'F.F.M30%'!N26+'F.F.M.70%'!N26+'F.F.M.ESTIIMACIONES 2014'!N26</f>
        <v>1510063.2307281741</v>
      </c>
      <c r="O23" s="605">
        <f t="shared" si="0"/>
        <v>19848336.112013232</v>
      </c>
    </row>
    <row r="24" spans="1:15" ht="13.5" thickBot="1" x14ac:dyDescent="0.25">
      <c r="A24" s="607" t="s">
        <v>288</v>
      </c>
      <c r="B24" s="623">
        <f t="shared" ref="B24:N24" si="1">SUM(B4:B23)</f>
        <v>0</v>
      </c>
      <c r="C24" s="609">
        <f t="shared" si="1"/>
        <v>49379080.257498361</v>
      </c>
      <c r="D24" s="609">
        <f t="shared" si="1"/>
        <v>69989723.108946919</v>
      </c>
      <c r="E24" s="609">
        <f t="shared" si="1"/>
        <v>43619514.60419447</v>
      </c>
      <c r="F24" s="609">
        <f t="shared" si="1"/>
        <v>55895224.938603207</v>
      </c>
      <c r="G24" s="609">
        <f t="shared" si="1"/>
        <v>59476037.564360671</v>
      </c>
      <c r="H24" s="609">
        <f t="shared" si="1"/>
        <v>56212807.002193861</v>
      </c>
      <c r="I24" s="609">
        <f t="shared" si="1"/>
        <v>48393808.181139998</v>
      </c>
      <c r="J24" s="609">
        <f t="shared" si="1"/>
        <v>50316509.037090868</v>
      </c>
      <c r="K24" s="609">
        <f t="shared" si="1"/>
        <v>46708001.679837212</v>
      </c>
      <c r="L24" s="609">
        <f t="shared" si="1"/>
        <v>32798736.267554075</v>
      </c>
      <c r="M24" s="609">
        <f t="shared" si="1"/>
        <v>45124076.461118899</v>
      </c>
      <c r="N24" s="609">
        <f t="shared" si="1"/>
        <v>46754367.897461481</v>
      </c>
      <c r="O24" s="609">
        <f t="shared" si="0"/>
        <v>604667887.00000012</v>
      </c>
    </row>
    <row r="25" spans="1:15" x14ac:dyDescent="0.2">
      <c r="A25" s="610"/>
      <c r="B25" s="610"/>
      <c r="C25" s="610"/>
      <c r="D25" s="610"/>
      <c r="E25" s="610"/>
      <c r="F25" s="610"/>
      <c r="G25" s="610"/>
      <c r="H25" s="610"/>
      <c r="I25" s="610"/>
      <c r="J25" s="610"/>
      <c r="K25" s="610"/>
      <c r="L25" s="610"/>
      <c r="M25" s="610"/>
      <c r="N25" s="610"/>
      <c r="O25" s="610"/>
    </row>
    <row r="26" spans="1:15" x14ac:dyDescent="0.2">
      <c r="A26" s="611" t="s">
        <v>289</v>
      </c>
      <c r="M26" s="606"/>
      <c r="O26" s="606"/>
    </row>
    <row r="27" spans="1:15" x14ac:dyDescent="0.2">
      <c r="O27" s="606"/>
    </row>
    <row r="28" spans="1:15" x14ac:dyDescent="0.2">
      <c r="M28" s="606"/>
    </row>
    <row r="29" spans="1:15" x14ac:dyDescent="0.2">
      <c r="O29" s="606"/>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rgb="FFFFFF00"/>
  </sheetPr>
  <dimension ref="A1:Q26"/>
  <sheetViews>
    <sheetView workbookViewId="0">
      <selection activeCell="B32" sqref="B32"/>
    </sheetView>
  </sheetViews>
  <sheetFormatPr baseColWidth="10" defaultRowHeight="12.75" x14ac:dyDescent="0.2"/>
  <cols>
    <col min="1" max="1" width="16.5703125" style="597" customWidth="1"/>
    <col min="2" max="2" width="9.28515625" style="597" hidden="1" customWidth="1"/>
    <col min="3" max="7" width="7.85546875" style="597" bestFit="1" customWidth="1"/>
    <col min="8" max="10" width="7.85546875" style="597" customWidth="1"/>
    <col min="11" max="11" width="9.42578125" style="597" customWidth="1"/>
    <col min="12" max="12" width="7.85546875" style="597" customWidth="1"/>
    <col min="13" max="13" width="9.7109375" style="597" customWidth="1"/>
    <col min="14" max="14" width="9" style="597" customWidth="1"/>
    <col min="15" max="15" width="8.7109375" style="597" bestFit="1" customWidth="1"/>
    <col min="16" max="16" width="12.7109375" style="597" bestFit="1" customWidth="1"/>
    <col min="17" max="16384" width="11.42578125" style="597"/>
  </cols>
  <sheetData>
    <row r="1" spans="1:17" x14ac:dyDescent="0.2">
      <c r="A1" s="1255" t="s">
        <v>381</v>
      </c>
      <c r="B1" s="1255"/>
      <c r="C1" s="1255"/>
      <c r="D1" s="1255"/>
      <c r="E1" s="1255"/>
      <c r="F1" s="1255"/>
      <c r="G1" s="1255"/>
      <c r="H1" s="1255"/>
      <c r="I1" s="1255"/>
      <c r="J1" s="1255"/>
      <c r="K1" s="1255"/>
      <c r="L1" s="1255"/>
      <c r="M1" s="1255"/>
      <c r="N1" s="1255"/>
      <c r="O1" s="1255"/>
    </row>
    <row r="2" spans="1:17" ht="13.5" thickBot="1" x14ac:dyDescent="0.25"/>
    <row r="3" spans="1:17" ht="23.25" thickBot="1" x14ac:dyDescent="0.25">
      <c r="A3" s="598" t="s">
        <v>341</v>
      </c>
      <c r="B3" s="599" t="s">
        <v>281</v>
      </c>
      <c r="C3" s="598" t="s">
        <v>1</v>
      </c>
      <c r="D3" s="600" t="s">
        <v>2</v>
      </c>
      <c r="E3" s="598" t="s">
        <v>3</v>
      </c>
      <c r="F3" s="600" t="s">
        <v>4</v>
      </c>
      <c r="G3" s="598" t="s">
        <v>5</v>
      </c>
      <c r="H3" s="598" t="s">
        <v>6</v>
      </c>
      <c r="I3" s="598" t="s">
        <v>7</v>
      </c>
      <c r="J3" s="600" t="s">
        <v>8</v>
      </c>
      <c r="K3" s="598" t="s">
        <v>9</v>
      </c>
      <c r="L3" s="600" t="s">
        <v>10</v>
      </c>
      <c r="M3" s="598" t="s">
        <v>11</v>
      </c>
      <c r="N3" s="598" t="s">
        <v>12</v>
      </c>
      <c r="O3" s="601" t="s">
        <v>168</v>
      </c>
    </row>
    <row r="4" spans="1:17" ht="12.75" customHeight="1" x14ac:dyDescent="0.2">
      <c r="A4" s="602" t="s">
        <v>282</v>
      </c>
      <c r="B4" s="613"/>
      <c r="C4" s="604">
        <f>'[4] FOCO INCREMENTO'!C7+'[4] FOCO ESTIMACION'!C7</f>
        <v>293071.38094113616</v>
      </c>
      <c r="D4" s="604">
        <f>'[4] FOCO INCREMENTO'!D7+'[4] FOCO ESTIMACION'!D7</f>
        <v>295230.63445575966</v>
      </c>
      <c r="E4" s="604">
        <f>'[4] FOCO INCREMENTO'!E7+'[4] FOCO ESTIMACION'!E7</f>
        <v>287468.89670337556</v>
      </c>
      <c r="F4" s="604">
        <f>'[4] FOCO INCREMENTO'!F7+'[4] FOCO ESTIMACION'!F7</f>
        <v>305241.69569530652</v>
      </c>
      <c r="G4" s="604">
        <f>'[4] FOCO INCREMENTO'!G7+'[4] FOCO ESTIMACION'!G7</f>
        <v>302443.59145698301</v>
      </c>
      <c r="H4" s="604">
        <f>'[4] FOCO INCREMENTO'!H7+'[4] FOCO ESTIMACION'!H7</f>
        <v>310935.35706946446</v>
      </c>
      <c r="I4" s="604">
        <f>'[4] FOCO INCREMENTO'!I7+'[4] FOCO ESTIMACION'!I7</f>
        <v>299723.71469322289</v>
      </c>
      <c r="J4" s="604">
        <f>'[4] FOCO INCREMENTO'!J7+'[4] FOCO ESTIMACION'!J7</f>
        <v>303799.93898461858</v>
      </c>
      <c r="K4" s="604">
        <f>'[4] FOCO INCREMENTO'!K7+'[4] FOCO ESTIMACION'!K7</f>
        <v>295860.99207054696</v>
      </c>
      <c r="L4" s="604">
        <f>'[4] FOCO INCREMENTO'!L7+'[4] FOCO ESTIMACION'!L7</f>
        <v>287253.18242701917</v>
      </c>
      <c r="M4" s="604">
        <f>'[4] FOCO INCREMENTO'!M7+'[4] FOCO ESTIMACION'!M7</f>
        <v>292569.28234723891</v>
      </c>
      <c r="N4" s="604">
        <f>'[4] FOCO INCREMENTO'!N7+'[4] FOCO ESTIMACION'!N7</f>
        <v>271071.73589895893</v>
      </c>
      <c r="O4" s="605">
        <f>SUM(C4:N4)</f>
        <v>3544670.402743631</v>
      </c>
      <c r="P4" s="606"/>
      <c r="Q4" s="606"/>
    </row>
    <row r="5" spans="1:17" ht="12.75" customHeight="1" x14ac:dyDescent="0.2">
      <c r="A5" s="602" t="s">
        <v>147</v>
      </c>
      <c r="B5" s="614"/>
      <c r="C5" s="604">
        <f>'[4] FOCO INCREMENTO'!C8+'[4] FOCO ESTIMACION'!C8</f>
        <v>167923.75088356718</v>
      </c>
      <c r="D5" s="604">
        <f>'[4] FOCO INCREMENTO'!D8+'[4] FOCO ESTIMACION'!D8</f>
        <v>169316.44590889825</v>
      </c>
      <c r="E5" s="604">
        <f>'[4] FOCO INCREMENTO'!E8+'[4] FOCO ESTIMACION'!E8</f>
        <v>143476.72168163006</v>
      </c>
      <c r="F5" s="604">
        <f>'[4] FOCO INCREMENTO'!F8+'[4] FOCO ESTIMACION'!F8</f>
        <v>167657.19351858451</v>
      </c>
      <c r="G5" s="604">
        <f>'[4] FOCO INCREMENTO'!G8+'[4] FOCO ESTIMACION'!G8</f>
        <v>155148.51064548985</v>
      </c>
      <c r="H5" s="604">
        <f>'[4] FOCO INCREMENTO'!H8+'[4] FOCO ESTIMACION'!H8</f>
        <v>169816.08130581549</v>
      </c>
      <c r="I5" s="604">
        <f>'[4] FOCO INCREMENTO'!I8+'[4] FOCO ESTIMACION'!I8</f>
        <v>152989.85268948891</v>
      </c>
      <c r="J5" s="604">
        <f>'[4] FOCO INCREMENTO'!J8+'[4] FOCO ESTIMACION'!J8</f>
        <v>158269.95750445744</v>
      </c>
      <c r="K5" s="604">
        <f>'[4] FOCO INCREMENTO'!K8+'[4] FOCO ESTIMACION'!K8</f>
        <v>157137.50561906997</v>
      </c>
      <c r="L5" s="604">
        <f>'[4] FOCO INCREMENTO'!L8+'[4] FOCO ESTIMACION'!L8</f>
        <v>140750.05808218033</v>
      </c>
      <c r="M5" s="604">
        <f>'[4] FOCO INCREMENTO'!M8+'[4] FOCO ESTIMACION'!M8</f>
        <v>151776.72747538111</v>
      </c>
      <c r="N5" s="604">
        <f>'[4] FOCO INCREMENTO'!N8+'[4] FOCO ESTIMACION'!N8</f>
        <v>168514.19251680683</v>
      </c>
      <c r="O5" s="605">
        <f t="shared" ref="O5:O23" si="0">SUM(C5:N5)</f>
        <v>1902776.99783137</v>
      </c>
      <c r="P5" s="606"/>
    </row>
    <row r="6" spans="1:17" ht="12.75" customHeight="1" x14ac:dyDescent="0.2">
      <c r="A6" s="602" t="s">
        <v>148</v>
      </c>
      <c r="B6" s="614"/>
      <c r="C6" s="604">
        <f>'[4] FOCO INCREMENTO'!C9+'[4] FOCO ESTIMACION'!C9</f>
        <v>162497.33002536252</v>
      </c>
      <c r="D6" s="604">
        <f>'[4] FOCO INCREMENTO'!D9+'[4] FOCO ESTIMACION'!D9</f>
        <v>163917.36695336353</v>
      </c>
      <c r="E6" s="604">
        <f>'[4] FOCO INCREMENTO'!E9+'[4] FOCO ESTIMACION'!E9</f>
        <v>128959.04112502883</v>
      </c>
      <c r="F6" s="604">
        <f>'[4] FOCO INCREMENTO'!F9+'[4] FOCO ESTIMACION'!F9</f>
        <v>158870.7599967175</v>
      </c>
      <c r="G6" s="604">
        <f>'[4] FOCO INCREMENTO'!G9+'[4] FOCO ESTIMACION'!G9</f>
        <v>141692.14083376186</v>
      </c>
      <c r="H6" s="604">
        <f>'[4] FOCO INCREMENTO'!H9+'[4] FOCO ESTIMACION'!H9</f>
        <v>160446.45806968526</v>
      </c>
      <c r="I6" s="604">
        <f>'[4] FOCO INCREMENTO'!I9+'[4] FOCO ESTIMACION'!I9</f>
        <v>139323.96237907078</v>
      </c>
      <c r="J6" s="604">
        <f>'[4] FOCO INCREMENTO'!J9+'[4] FOCO ESTIMACION'!J9</f>
        <v>145803.48516778366</v>
      </c>
      <c r="K6" s="604">
        <f>'[4] FOCO INCREMENTO'!K9+'[4] FOCO ESTIMACION'!K9</f>
        <v>146297.23320160009</v>
      </c>
      <c r="L6" s="604">
        <f>'[4] FOCO INCREMENTO'!L9+'[4] FOCO ESTIMACION'!L9</f>
        <v>125109.31781222334</v>
      </c>
      <c r="M6" s="604">
        <f>'[4] FOCO INCREMENTO'!M9+'[4] FOCO ESTIMACION'!M9</f>
        <v>139492.95653689533</v>
      </c>
      <c r="N6" s="604">
        <f>'[4] FOCO INCREMENTO'!N9+'[4] FOCO ESTIMACION'!N9</f>
        <v>169208.51245931126</v>
      </c>
      <c r="O6" s="605">
        <f t="shared" si="0"/>
        <v>1781618.5645608038</v>
      </c>
      <c r="P6" s="606"/>
    </row>
    <row r="7" spans="1:17" ht="12.75" customHeight="1" x14ac:dyDescent="0.2">
      <c r="A7" s="602" t="s">
        <v>283</v>
      </c>
      <c r="B7" s="614"/>
      <c r="C7" s="604">
        <f>'[4] FOCO INCREMENTO'!C10+'[4] FOCO ESTIMACION'!C10</f>
        <v>648950.14567954827</v>
      </c>
      <c r="D7" s="604">
        <f>'[4] FOCO INCREMENTO'!D10+'[4] FOCO ESTIMACION'!D10</f>
        <v>653955.33323754231</v>
      </c>
      <c r="E7" s="604">
        <f>'[4] FOCO INCREMENTO'!E10+'[4] FOCO ESTIMACION'!E10</f>
        <v>605958.76980175229</v>
      </c>
      <c r="F7" s="604">
        <f>'[4] FOCO INCREMENTO'!F10+'[4] FOCO ESTIMACION'!F10</f>
        <v>665471.95690336078</v>
      </c>
      <c r="G7" s="604">
        <f>'[4] FOCO INCREMENTO'!G10+'[4] FOCO ESTIMACION'!G10</f>
        <v>643569.9239145224</v>
      </c>
      <c r="H7" s="604">
        <f>'[4] FOCO INCREMENTO'!H10+'[4] FOCO ESTIMACION'!H10</f>
        <v>676490.25220666104</v>
      </c>
      <c r="I7" s="604">
        <f>'[4] FOCO INCREMENTO'!I10+'[4] FOCO ESTIMACION'!I10</f>
        <v>636682.82601613738</v>
      </c>
      <c r="J7" s="604">
        <f>'[4] FOCO INCREMENTO'!J10+'[4] FOCO ESTIMACION'!J10</f>
        <v>649949.57533782744</v>
      </c>
      <c r="K7" s="604">
        <f>'[4] FOCO INCREMENTO'!K10+'[4] FOCO ESTIMACION'!K10</f>
        <v>637290.65657251002</v>
      </c>
      <c r="L7" s="604">
        <f>'[4] FOCO INCREMENTO'!L10+'[4] FOCO ESTIMACION'!L10</f>
        <v>601732.138300444</v>
      </c>
      <c r="M7" s="604">
        <f>'[4] FOCO INCREMENTO'!M10+'[4] FOCO ESTIMACION'!M10</f>
        <v>624997.48473503243</v>
      </c>
      <c r="N7" s="604">
        <f>'[4] FOCO INCREMENTO'!N10+'[4] FOCO ESTIMACION'!N10</f>
        <v>619240.93385230529</v>
      </c>
      <c r="O7" s="605">
        <f t="shared" si="0"/>
        <v>7664289.9965576446</v>
      </c>
      <c r="P7" s="606"/>
    </row>
    <row r="8" spans="1:17" ht="12.75" customHeight="1" x14ac:dyDescent="0.2">
      <c r="A8" s="602" t="s">
        <v>150</v>
      </c>
      <c r="B8" s="614"/>
      <c r="C8" s="604">
        <f>'[4] FOCO INCREMENTO'!C11+'[4] FOCO ESTIMACION'!C11</f>
        <v>471383.47329630965</v>
      </c>
      <c r="D8" s="604">
        <f>'[4] FOCO INCREMENTO'!D11+'[4] FOCO ESTIMACION'!D11</f>
        <v>474836.25750203704</v>
      </c>
      <c r="E8" s="604">
        <f>'[4] FOCO INCREMENTO'!E11+'[4] FOCO ESTIMACION'!E11</f>
        <v>465133.18937778141</v>
      </c>
      <c r="F8" s="604">
        <f>'[4] FOCO INCREMENTO'!F11+'[4] FOCO ESTIMACION'!F11</f>
        <v>491899.73568948405</v>
      </c>
      <c r="G8" s="604">
        <f>'[4] FOCO INCREMENTO'!G11+'[4] FOCO ESTIMACION'!G11</f>
        <v>488816.94766019669</v>
      </c>
      <c r="H8" s="604">
        <f>'[4] FOCO INCREMENTO'!H11+'[4] FOCO ESTIMACION'!H11</f>
        <v>501201.02044914151</v>
      </c>
      <c r="I8" s="604">
        <f>'[4] FOCO INCREMENTO'!I11+'[4] FOCO ESTIMACION'!I11</f>
        <v>484520.26060342306</v>
      </c>
      <c r="J8" s="604">
        <f>'[4] FOCO INCREMENTO'!J11+'[4] FOCO ESTIMACION'!J11</f>
        <v>490693.7636842819</v>
      </c>
      <c r="K8" s="604">
        <f>'[4] FOCO INCREMENTO'!K11+'[4] FOCO ESTIMACION'!K11</f>
        <v>477480.41233588377</v>
      </c>
      <c r="L8" s="604">
        <f>'[4] FOCO INCREMENTO'!L11+'[4] FOCO ESTIMACION'!L11</f>
        <v>465124.6389111054</v>
      </c>
      <c r="M8" s="604">
        <f>'[4] FOCO INCREMENTO'!M11+'[4] FOCO ESTIMACION'!M11</f>
        <v>472637.66870605573</v>
      </c>
      <c r="N8" s="604">
        <f>'[4] FOCO INCREMENTO'!N11+'[4] FOCO ESTIMACION'!N11</f>
        <v>434283.17430317326</v>
      </c>
      <c r="O8" s="605">
        <f t="shared" si="0"/>
        <v>5718010.5425188737</v>
      </c>
      <c r="P8" s="606"/>
    </row>
    <row r="9" spans="1:17" ht="12.75" customHeight="1" x14ac:dyDescent="0.2">
      <c r="A9" s="602" t="s">
        <v>284</v>
      </c>
      <c r="B9" s="614"/>
      <c r="C9" s="604">
        <f>'[4] FOCO INCREMENTO'!C12+'[4] FOCO ESTIMACION'!C12</f>
        <v>495784.42770370154</v>
      </c>
      <c r="D9" s="604">
        <f>'[4] FOCO INCREMENTO'!D12+'[4] FOCO ESTIMACION'!D12</f>
        <v>499216.59407409781</v>
      </c>
      <c r="E9" s="604">
        <f>'[4] FOCO INCREMENTO'!E12+'[4] FOCO ESTIMACION'!E12</f>
        <v>516438.24173897039</v>
      </c>
      <c r="F9" s="604">
        <f>'[4] FOCO INCREMENTO'!F12+'[4] FOCO ESTIMACION'!F12</f>
        <v>526644.89675602317</v>
      </c>
      <c r="G9" s="604">
        <f>'[4] FOCO INCREMENTO'!G12+'[4] FOCO ESTIMACION'!G12</f>
        <v>537384.26656664128</v>
      </c>
      <c r="H9" s="604">
        <f>'[4] FOCO INCREMENTO'!H12+'[4] FOCO ESTIMACION'!H12</f>
        <v>537842.39396935108</v>
      </c>
      <c r="I9" s="604">
        <f>'[4] FOCO INCREMENTO'!I12+'[4] FOCO ESTIMACION'!I12</f>
        <v>533634.70656488149</v>
      </c>
      <c r="J9" s="604">
        <f>'[4] FOCO INCREMENTO'!J12+'[4] FOCO ESTIMACION'!J12</f>
        <v>536352.64733775321</v>
      </c>
      <c r="K9" s="604">
        <f>'[4] FOCO INCREMENTO'!K12+'[4] FOCO ESTIMACION'!K12</f>
        <v>518075.18389640079</v>
      </c>
      <c r="L9" s="604">
        <f>'[4] FOCO INCREMENTO'!L12+'[4] FOCO ESTIMACION'!L12</f>
        <v>519766.61006429675</v>
      </c>
      <c r="M9" s="604">
        <f>'[4] FOCO INCREMENTO'!M12+'[4] FOCO ESTIMACION'!M12</f>
        <v>517436.63183014223</v>
      </c>
      <c r="N9" s="604">
        <f>'[4] FOCO INCREMENTO'!N12+'[4] FOCO ESTIMACION'!N12</f>
        <v>439845.47884661314</v>
      </c>
      <c r="O9" s="605">
        <f t="shared" si="0"/>
        <v>6178422.0793488724</v>
      </c>
      <c r="P9" s="606"/>
    </row>
    <row r="10" spans="1:17" ht="12.75" customHeight="1" x14ac:dyDescent="0.2">
      <c r="A10" s="602" t="s">
        <v>152</v>
      </c>
      <c r="B10" s="614"/>
      <c r="C10" s="604">
        <f>'[4] FOCO INCREMENTO'!C13+'[4] FOCO ESTIMACION'!C13</f>
        <v>198742.42751254898</v>
      </c>
      <c r="D10" s="604">
        <f>'[4] FOCO INCREMENTO'!D13+'[4] FOCO ESTIMACION'!D13</f>
        <v>200370.80165246839</v>
      </c>
      <c r="E10" s="604">
        <f>'[4] FOCO INCREMENTO'!E13+'[4] FOCO ESTIMACION'!E13</f>
        <v>172529.29132417578</v>
      </c>
      <c r="F10" s="604">
        <f>'[4] FOCO INCREMENTO'!F13+'[4] FOCO ESTIMACION'!F13</f>
        <v>199354.43170012755</v>
      </c>
      <c r="G10" s="604">
        <f>'[4] FOCO INCREMENTO'!G13+'[4] FOCO ESTIMACION'!G13</f>
        <v>185947.12146230042</v>
      </c>
      <c r="H10" s="604">
        <f>'[4] FOCO INCREMENTO'!H13+'[4] FOCO ESTIMACION'!H13</f>
        <v>202050.89665968972</v>
      </c>
      <c r="I10" s="604">
        <f>'[4] FOCO INCREMENTO'!I13+'[4] FOCO ESTIMACION'!I13</f>
        <v>183469.18297952466</v>
      </c>
      <c r="J10" s="604">
        <f>'[4] FOCO INCREMENTO'!J13+'[4] FOCO ESTIMACION'!J13</f>
        <v>189341.12043138896</v>
      </c>
      <c r="K10" s="604">
        <f>'[4] FOCO INCREMENTO'!K13+'[4] FOCO ESTIMACION'!K13</f>
        <v>187563.16699302883</v>
      </c>
      <c r="L10" s="604">
        <f>'[4] FOCO INCREMENTO'!L13+'[4] FOCO ESTIMACION'!L13</f>
        <v>169635.68033925485</v>
      </c>
      <c r="M10" s="604">
        <f>'[4] FOCO INCREMENTO'!M13+'[4] FOCO ESTIMACION'!M13</f>
        <v>181663.67075794237</v>
      </c>
      <c r="N10" s="604">
        <f>'[4] FOCO INCREMENTO'!N13+'[4] FOCO ESTIMACION'!N13</f>
        <v>197750.75778297905</v>
      </c>
      <c r="O10" s="605">
        <f t="shared" si="0"/>
        <v>2268418.5495954296</v>
      </c>
      <c r="P10" s="606"/>
    </row>
    <row r="11" spans="1:17" ht="12.75" customHeight="1" x14ac:dyDescent="0.2">
      <c r="A11" s="602" t="s">
        <v>153</v>
      </c>
      <c r="B11" s="614"/>
      <c r="C11" s="604">
        <f>'[4] FOCO INCREMENTO'!C14+'[4] FOCO ESTIMACION'!C14</f>
        <v>222371.49636443221</v>
      </c>
      <c r="D11" s="604">
        <f>'[4] FOCO INCREMENTO'!D14+'[4] FOCO ESTIMACION'!D14</f>
        <v>224071.95718349898</v>
      </c>
      <c r="E11" s="604">
        <f>'[4] FOCO INCREMENTO'!E14+'[4] FOCO ESTIMACION'!E14</f>
        <v>209638.67191565505</v>
      </c>
      <c r="F11" s="604">
        <f>'[4] FOCO INCREMENTO'!F14+'[4] FOCO ESTIMACION'!F14</f>
        <v>228714.31185895676</v>
      </c>
      <c r="G11" s="604">
        <f>'[4] FOCO INCREMENTO'!G14+'[4] FOCO ESTIMACION'!G14</f>
        <v>222235.66834534577</v>
      </c>
      <c r="H11" s="604">
        <f>'[4] FOCO INCREMENTO'!H14+'[4] FOCO ESTIMACION'!H14</f>
        <v>232593.73300999656</v>
      </c>
      <c r="I11" s="604">
        <f>'[4] FOCO INCREMENTO'!I14+'[4] FOCO ESTIMACION'!I14</f>
        <v>219932.20285984827</v>
      </c>
      <c r="J11" s="604">
        <f>'[4] FOCO INCREMENTO'!J14+'[4] FOCO ESTIMACION'!J14</f>
        <v>224201.10509026566</v>
      </c>
      <c r="K11" s="604">
        <f>'[4] FOCO INCREMENTO'!K14+'[4] FOCO ESTIMACION'!K14</f>
        <v>219541.81624763118</v>
      </c>
      <c r="L11" s="604">
        <f>'[4] FOCO INCREMENTO'!L14+'[4] FOCO ESTIMACION'!L14</f>
        <v>208435.35151326659</v>
      </c>
      <c r="M11" s="604">
        <f>'[4] FOCO INCREMENTO'!M14+'[4] FOCO ESTIMACION'!M14</f>
        <v>215656.42256975552</v>
      </c>
      <c r="N11" s="604">
        <f>'[4] FOCO INCREMENTO'!N14+'[4] FOCO ESTIMACION'!N14</f>
        <v>210949.29260480555</v>
      </c>
      <c r="O11" s="605">
        <f t="shared" si="0"/>
        <v>2638342.0295634577</v>
      </c>
      <c r="P11" s="606"/>
    </row>
    <row r="12" spans="1:17" ht="12.75" customHeight="1" x14ac:dyDescent="0.2">
      <c r="A12" s="602" t="s">
        <v>154</v>
      </c>
      <c r="B12" s="614"/>
      <c r="C12" s="604">
        <f>'[4] FOCO INCREMENTO'!C15+'[4] FOCO ESTIMACION'!C15</f>
        <v>202946.21048486899</v>
      </c>
      <c r="D12" s="604">
        <f>'[4] FOCO INCREMENTO'!D15+'[4] FOCO ESTIMACION'!D15</f>
        <v>204536.57748429695</v>
      </c>
      <c r="E12" s="604">
        <f>'[4] FOCO INCREMENTO'!E15+'[4] FOCO ESTIMACION'!E15</f>
        <v>186074.05675057671</v>
      </c>
      <c r="F12" s="604">
        <f>'[4] FOCO INCREMENTO'!F15+'[4] FOCO ESTIMACION'!F15</f>
        <v>206944.62030849885</v>
      </c>
      <c r="G12" s="604">
        <f>'[4] FOCO INCREMENTO'!G15+'[4] FOCO ESTIMACION'!G15</f>
        <v>198335.15322998998</v>
      </c>
      <c r="H12" s="604">
        <f>'[4] FOCO INCREMENTO'!H15+'[4] FOCO ESTIMACION'!H15</f>
        <v>210212.28316799866</v>
      </c>
      <c r="I12" s="604">
        <f>'[4] FOCO INCREMENTO'!I15+'[4] FOCO ESTIMACION'!I15</f>
        <v>196084.47945937552</v>
      </c>
      <c r="J12" s="604">
        <f>'[4] FOCO INCREMENTO'!J15+'[4] FOCO ESTIMACION'!J15</f>
        <v>200708.6100901358</v>
      </c>
      <c r="K12" s="604">
        <f>'[4] FOCO INCREMENTO'!K15+'[4] FOCO ESTIMACION'!K15</f>
        <v>197301.16338629025</v>
      </c>
      <c r="L12" s="604">
        <f>'[4] FOCO INCREMENTO'!L15+'[4] FOCO ESTIMACION'!L15</f>
        <v>184332.14972644288</v>
      </c>
      <c r="M12" s="604">
        <f>'[4] FOCO INCREMENTO'!M15+'[4] FOCO ESTIMACION'!M15</f>
        <v>192895.9325505317</v>
      </c>
      <c r="N12" s="604">
        <f>'[4] FOCO INCREMENTO'!N15+'[4] FOCO ESTIMACION'!N15</f>
        <v>195784.93325843912</v>
      </c>
      <c r="O12" s="605">
        <f t="shared" si="0"/>
        <v>2376156.1698974455</v>
      </c>
      <c r="P12" s="606"/>
    </row>
    <row r="13" spans="1:17" ht="12.75" customHeight="1" x14ac:dyDescent="0.2">
      <c r="A13" s="602" t="s">
        <v>155</v>
      </c>
      <c r="B13" s="614"/>
      <c r="C13" s="604">
        <f>'[4] FOCO INCREMENTO'!C16+'[4] FOCO ESTIMACION'!C16</f>
        <v>211173.39319915246</v>
      </c>
      <c r="D13" s="604">
        <f>'[4] FOCO INCREMENTO'!D16+'[4] FOCO ESTIMACION'!D16</f>
        <v>212851.63404335736</v>
      </c>
      <c r="E13" s="604">
        <f>'[4] FOCO INCREMENTO'!E16+'[4] FOCO ESTIMACION'!E16</f>
        <v>190420.91243974486</v>
      </c>
      <c r="F13" s="604">
        <f>'[4] FOCO INCREMENTO'!F16+'[4] FOCO ESTIMACION'!F16</f>
        <v>214244.22347089899</v>
      </c>
      <c r="G13" s="604">
        <f>'[4] FOCO INCREMENTO'!G16+'[4] FOCO ESTIMACION'!G16</f>
        <v>203644.37281966404</v>
      </c>
      <c r="H13" s="604">
        <f>'[4] FOCO INCREMENTO'!H16+'[4] FOCO ESTIMACION'!H16</f>
        <v>217478.27232058064</v>
      </c>
      <c r="I13" s="604">
        <f>'[4] FOCO INCREMENTO'!I16+'[4] FOCO ESTIMACION'!I16</f>
        <v>201212.12012910549</v>
      </c>
      <c r="J13" s="604">
        <f>'[4] FOCO INCREMENTO'!J16+'[4] FOCO ESTIMACION'!J16</f>
        <v>206466.88343932666</v>
      </c>
      <c r="K13" s="604">
        <f>'[4] FOCO INCREMENTO'!K16+'[4] FOCO ESTIMACION'!K16</f>
        <v>203435.50232384904</v>
      </c>
      <c r="L13" s="604">
        <f>'[4] FOCO INCREMENTO'!L16+'[4] FOCO ESTIMACION'!L16</f>
        <v>188216.60578401005</v>
      </c>
      <c r="M13" s="604">
        <f>'[4] FOCO INCREMENTO'!M16+'[4] FOCO ESTIMACION'!M16</f>
        <v>198328.71523021645</v>
      </c>
      <c r="N13" s="604">
        <f>'[4] FOCO INCREMENTO'!N16+'[4] FOCO ESTIMACION'!N16</f>
        <v>205707.89194817905</v>
      </c>
      <c r="O13" s="605">
        <f t="shared" si="0"/>
        <v>2453180.5271480847</v>
      </c>
      <c r="P13" s="606"/>
    </row>
    <row r="14" spans="1:17" ht="12.75" customHeight="1" x14ac:dyDescent="0.2">
      <c r="A14" s="602" t="s">
        <v>156</v>
      </c>
      <c r="B14" s="614"/>
      <c r="C14" s="604">
        <f>'[4] FOCO INCREMENTO'!C17+'[4] FOCO ESTIMACION'!C17</f>
        <v>362749.75476246886</v>
      </c>
      <c r="D14" s="604">
        <f>'[4] FOCO INCREMENTO'!D17+'[4] FOCO ESTIMACION'!D17</f>
        <v>365328.42657435418</v>
      </c>
      <c r="E14" s="604">
        <f>'[4] FOCO INCREMENTO'!E17+'[4] FOCO ESTIMACION'!E17</f>
        <v>368647.04557774641</v>
      </c>
      <c r="F14" s="604">
        <f>'[4] FOCO INCREMENTO'!F17+'[4] FOCO ESTIMACION'!F17</f>
        <v>382188.07818719157</v>
      </c>
      <c r="G14" s="604">
        <f>'[4] FOCO INCREMENTO'!G17+'[4] FOCO ESTIMACION'!G17</f>
        <v>385313.9982969485</v>
      </c>
      <c r="H14" s="604">
        <f>'[4] FOCO INCREMENTO'!H17+'[4] FOCO ESTIMACION'!H17</f>
        <v>389902.15348591068</v>
      </c>
      <c r="I14" s="604">
        <f>'[4] FOCO INCREMENTO'!I17+'[4] FOCO ESTIMACION'!I17</f>
        <v>382310.13323772058</v>
      </c>
      <c r="J14" s="604">
        <f>'[4] FOCO INCREMENTO'!J17+'[4] FOCO ESTIMACION'!J17</f>
        <v>385576.35417967639</v>
      </c>
      <c r="K14" s="604">
        <f>'[4] FOCO INCREMENTO'!K17+'[4] FOCO ESTIMACION'!K17</f>
        <v>373685.64819216164</v>
      </c>
      <c r="L14" s="604">
        <f>'[4] FOCO INCREMENTO'!L17+'[4] FOCO ESTIMACION'!L17</f>
        <v>369952.86852338718</v>
      </c>
      <c r="M14" s="604">
        <f>'[4] FOCO INCREMENTO'!M17+'[4] FOCO ESTIMACION'!M17</f>
        <v>371710.8096164937</v>
      </c>
      <c r="N14" s="604">
        <f>'[4] FOCO INCREMENTO'!N17+'[4] FOCO ESTIMACION'!N17</f>
        <v>327546.49027063942</v>
      </c>
      <c r="O14" s="605">
        <f t="shared" si="0"/>
        <v>4464911.7609046986</v>
      </c>
      <c r="P14" s="606"/>
    </row>
    <row r="15" spans="1:17" ht="12.75" customHeight="1" x14ac:dyDescent="0.2">
      <c r="A15" s="602" t="s">
        <v>157</v>
      </c>
      <c r="B15" s="614"/>
      <c r="C15" s="604">
        <f>'[4] FOCO INCREMENTO'!C18+'[4] FOCO ESTIMACION'!C18</f>
        <v>216262.67584227401</v>
      </c>
      <c r="D15" s="604">
        <f>'[4] FOCO INCREMENTO'!D18+'[4] FOCO ESTIMACION'!D18</f>
        <v>217921.10448853194</v>
      </c>
      <c r="E15" s="604">
        <f>'[4] FOCO INCREMENTO'!E18+'[4] FOCO ESTIMACION'!E18</f>
        <v>203240.21502094792</v>
      </c>
      <c r="F15" s="604">
        <f>'[4] FOCO INCREMENTO'!F18+'[4] FOCO ESTIMACION'!F18</f>
        <v>222213.26031237282</v>
      </c>
      <c r="G15" s="604">
        <f>'[4] FOCO INCREMENTO'!G18+'[4] FOCO ESTIMACION'!G18</f>
        <v>215584.24147516565</v>
      </c>
      <c r="H15" s="604">
        <f>'[4] FOCO INCREMENTO'!H18+'[4] FOCO ESTIMACION'!H18</f>
        <v>225952.88484358616</v>
      </c>
      <c r="I15" s="604">
        <f>'[4] FOCO INCREMENTO'!I18+'[4] FOCO ESTIMACION'!I18</f>
        <v>213325.9828376252</v>
      </c>
      <c r="J15" s="604">
        <f>'[4] FOCO INCREMENTO'!J18+'[4] FOCO ESTIMACION'!J18</f>
        <v>217566.2694451104</v>
      </c>
      <c r="K15" s="604">
        <f>'[4] FOCO INCREMENTO'!K18+'[4] FOCO ESTIMACION'!K18</f>
        <v>213137.8414201191</v>
      </c>
      <c r="L15" s="604">
        <f>'[4] FOCO INCREMENTO'!L18+'[4] FOCO ESTIMACION'!L18</f>
        <v>201991.57563331269</v>
      </c>
      <c r="M15" s="604">
        <f>'[4] FOCO INCREMENTO'!M18+'[4] FOCO ESTIMACION'!M18</f>
        <v>209254.56460088139</v>
      </c>
      <c r="N15" s="604">
        <f>'[4] FOCO INCREMENTO'!N18+'[4] FOCO ESTIMACION'!N18</f>
        <v>205551.56600233438</v>
      </c>
      <c r="O15" s="605">
        <f t="shared" si="0"/>
        <v>2562002.1819222616</v>
      </c>
      <c r="P15" s="606"/>
    </row>
    <row r="16" spans="1:17" ht="12.75" customHeight="1" x14ac:dyDescent="0.2">
      <c r="A16" s="602" t="s">
        <v>158</v>
      </c>
      <c r="B16" s="614"/>
      <c r="C16" s="604">
        <f>'[4] FOCO INCREMENTO'!C19+'[4] FOCO ESTIMACION'!C19</f>
        <v>274192.05874801276</v>
      </c>
      <c r="D16" s="604">
        <f>'[4] FOCO INCREMENTO'!D19+'[4] FOCO ESTIMACION'!D19</f>
        <v>276261.2937308129</v>
      </c>
      <c r="E16" s="604">
        <f>'[4] FOCO INCREMENTO'!E19+'[4] FOCO ESTIMACION'!E19</f>
        <v>262247.27858993516</v>
      </c>
      <c r="F16" s="604">
        <f>'[4] FOCO INCREMENTO'!F19+'[4] FOCO ESTIMACION'!F19</f>
        <v>283293.1833161026</v>
      </c>
      <c r="G16" s="604">
        <f>'[4] FOCO INCREMENTO'!G19+'[4] FOCO ESTIMACION'!G19</f>
        <v>277233.15124686155</v>
      </c>
      <c r="H16" s="604">
        <f>'[4] FOCO INCREMENTO'!H19+'[4] FOCO ESTIMACION'!H19</f>
        <v>288271.77031055721</v>
      </c>
      <c r="I16" s="604">
        <f>'[4] FOCO INCREMENTO'!I19+'[4] FOCO ESTIMACION'!I19</f>
        <v>274499.03119227302</v>
      </c>
      <c r="J16" s="604">
        <f>'[4] FOCO INCREMENTO'!J19+'[4] FOCO ESTIMACION'!J19</f>
        <v>279242.07323486469</v>
      </c>
      <c r="K16" s="604">
        <f>'[4] FOCO INCREMENTO'!K19+'[4] FOCO ESTIMACION'!K19</f>
        <v>272892.89269835327</v>
      </c>
      <c r="L16" s="604">
        <f>'[4] FOCO INCREMENTO'!L19+'[4] FOCO ESTIMACION'!L19</f>
        <v>261223.83187463079</v>
      </c>
      <c r="M16" s="604">
        <f>'[4] FOCO INCREMENTO'!M19+'[4] FOCO ESTIMACION'!M19</f>
        <v>268716.48103113833</v>
      </c>
      <c r="N16" s="604">
        <f>'[4] FOCO INCREMENTO'!N19+'[4] FOCO ESTIMACION'!N19</f>
        <v>257774.70750365214</v>
      </c>
      <c r="O16" s="605">
        <f t="shared" si="0"/>
        <v>3275847.7534771943</v>
      </c>
      <c r="P16" s="606"/>
    </row>
    <row r="17" spans="1:16" ht="12.75" customHeight="1" x14ac:dyDescent="0.2">
      <c r="A17" s="602" t="s">
        <v>285</v>
      </c>
      <c r="B17" s="614"/>
      <c r="C17" s="604">
        <f>'[4] FOCO INCREMENTO'!C20+'[4] FOCO ESTIMACION'!C20</f>
        <v>168369.18253523775</v>
      </c>
      <c r="D17" s="604">
        <f>'[4] FOCO INCREMENTO'!D20+'[4] FOCO ESTIMACION'!D20</f>
        <v>169994.51604787685</v>
      </c>
      <c r="E17" s="604">
        <f>'[4] FOCO INCREMENTO'!E20+'[4] FOCO ESTIMACION'!E20</f>
        <v>112587.56716776869</v>
      </c>
      <c r="F17" s="604">
        <f>'[4] FOCO INCREMENTO'!F20+'[4] FOCO ESTIMACION'!F20</f>
        <v>157441.73275838856</v>
      </c>
      <c r="G17" s="604">
        <f>'[4] FOCO INCREMENTO'!G20+'[4] FOCO ESTIMACION'!G20</f>
        <v>128842.46466456076</v>
      </c>
      <c r="H17" s="604">
        <f>'[4] FOCO INCREMENTO'!H20+'[4] FOCO ESTIMACION'!H20</f>
        <v>157981.58605880657</v>
      </c>
      <c r="I17" s="604">
        <f>'[4] FOCO INCREMENTO'!I20+'[4] FOCO ESTIMACION'!I20</f>
        <v>125794.29452279361</v>
      </c>
      <c r="J17" s="604">
        <f>'[4] FOCO INCREMENTO'!J20+'[4] FOCO ESTIMACION'!J20</f>
        <v>135423.97571846531</v>
      </c>
      <c r="K17" s="604">
        <f>'[4] FOCO INCREMENTO'!K20+'[4] FOCO ESTIMACION'!K20</f>
        <v>139318.90368970699</v>
      </c>
      <c r="L17" s="604">
        <f>'[4] FOCO INCREMENTO'!L20+'[4] FOCO ESTIMACION'!L20</f>
        <v>106020.8592911384</v>
      </c>
      <c r="M17" s="604">
        <f>'[4] FOCO INCREMENTO'!M20+'[4] FOCO ESTIMACION'!M20</f>
        <v>128827.68037865395</v>
      </c>
      <c r="N17" s="604">
        <f>'[4] FOCO INCREMENTO'!N20+'[4] FOCO ESTIMACION'!N20</f>
        <v>188390.95779910067</v>
      </c>
      <c r="O17" s="605">
        <f t="shared" si="0"/>
        <v>1718993.7206324982</v>
      </c>
      <c r="P17" s="606"/>
    </row>
    <row r="18" spans="1:16" ht="12.75" customHeight="1" x14ac:dyDescent="0.2">
      <c r="A18" s="602" t="s">
        <v>286</v>
      </c>
      <c r="B18" s="614"/>
      <c r="C18" s="604">
        <f>'[4] FOCO INCREMENTO'!C21+'[4] FOCO ESTIMACION'!C21</f>
        <v>198394.74342085869</v>
      </c>
      <c r="D18" s="604">
        <f>'[4] FOCO INCREMENTO'!D21+'[4] FOCO ESTIMACION'!D21</f>
        <v>199943.37561179919</v>
      </c>
      <c r="E18" s="604">
        <f>'[4] FOCO INCREMENTO'!E21+'[4] FOCO ESTIMACION'!E21</f>
        <v>182729.72243924619</v>
      </c>
      <c r="F18" s="604">
        <f>'[4] FOCO INCREMENTO'!F21+'[4] FOCO ESTIMACION'!F21</f>
        <v>202586.00785245071</v>
      </c>
      <c r="G18" s="604">
        <f>'[4] FOCO INCREMENTO'!G21+'[4] FOCO ESTIMACION'!G21</f>
        <v>194595.19422602394</v>
      </c>
      <c r="H18" s="604">
        <f>'[4] FOCO INCREMENTO'!H21+'[4] FOCO ESTIMACION'!H21</f>
        <v>205823.44798842364</v>
      </c>
      <c r="I18" s="604">
        <f>'[4] FOCO INCREMENTO'!I21+'[4] FOCO ESTIMACION'!I21</f>
        <v>192418.41920854413</v>
      </c>
      <c r="J18" s="604">
        <f>'[4] FOCO INCREMENTO'!J21+'[4] FOCO ESTIMACION'!J21</f>
        <v>196823.93905012784</v>
      </c>
      <c r="K18" s="604">
        <f>'[4] FOCO INCREMENTO'!K21+'[4] FOCO ESTIMACION'!K21</f>
        <v>193359.59081034412</v>
      </c>
      <c r="L18" s="604">
        <f>'[4] FOCO INCREMENTO'!L21+'[4] FOCO ESTIMACION'!L21</f>
        <v>181128.46206910201</v>
      </c>
      <c r="M18" s="604">
        <f>'[4] FOCO INCREMENTO'!M21+'[4] FOCO ESTIMACION'!M21</f>
        <v>189188.75119316691</v>
      </c>
      <c r="N18" s="604">
        <f>'[4] FOCO INCREMENTO'!N21+'[4] FOCO ESTIMACION'!N21</f>
        <v>190879.12494086992</v>
      </c>
      <c r="O18" s="605">
        <f t="shared" si="0"/>
        <v>2327870.778810957</v>
      </c>
      <c r="P18" s="606"/>
    </row>
    <row r="19" spans="1:16" ht="12.75" customHeight="1" x14ac:dyDescent="0.2">
      <c r="A19" s="602" t="s">
        <v>287</v>
      </c>
      <c r="B19" s="614"/>
      <c r="C19" s="604">
        <f>'[4] FOCO INCREMENTO'!C22+'[4] FOCO ESTIMACION'!C22</f>
        <v>637279.876508596</v>
      </c>
      <c r="D19" s="604">
        <f>'[4] FOCO INCREMENTO'!D22+'[4] FOCO ESTIMACION'!D22</f>
        <v>641889.33767879708</v>
      </c>
      <c r="E19" s="604">
        <f>'[4] FOCO INCREMENTO'!E22+'[4] FOCO ESTIMACION'!E22</f>
        <v>636817.10813882633</v>
      </c>
      <c r="F19" s="604">
        <f>'[4] FOCO INCREMENTO'!F22+'[4] FOCO ESTIMACION'!F22</f>
        <v>667739.45692027162</v>
      </c>
      <c r="G19" s="604">
        <f>'[4] FOCO INCREMENTO'!G22+'[4] FOCO ESTIMACION'!G22</f>
        <v>667673.26053620619</v>
      </c>
      <c r="H19" s="604">
        <f>'[4] FOCO INCREMENTO'!H22+'[4] FOCO ESTIMACION'!H22</f>
        <v>680729.20225750108</v>
      </c>
      <c r="I19" s="604">
        <f>'[4] FOCO INCREMENTO'!I22+'[4] FOCO ESTIMACION'!I22</f>
        <v>662090.16332464595</v>
      </c>
      <c r="J19" s="604">
        <f>'[4] FOCO INCREMENTO'!J22+'[4] FOCO ESTIMACION'!J22</f>
        <v>669328.90691099211</v>
      </c>
      <c r="K19" s="604">
        <f>'[4] FOCO INCREMENTO'!K22+'[4] FOCO ESTIMACION'!K22</f>
        <v>650180.40522796602</v>
      </c>
      <c r="L19" s="604">
        <f>'[4] FOCO INCREMENTO'!L22+'[4] FOCO ESTIMACION'!L22</f>
        <v>637784.56116318586</v>
      </c>
      <c r="M19" s="604">
        <f>'[4] FOCO INCREMENTO'!M22+'[4] FOCO ESTIMACION'!M22</f>
        <v>644940.16426424088</v>
      </c>
      <c r="N19" s="604">
        <f>'[4] FOCO INCREMENTO'!N22+'[4] FOCO ESTIMACION'!N22</f>
        <v>582159.74549378653</v>
      </c>
      <c r="O19" s="605">
        <f t="shared" si="0"/>
        <v>7778612.1884250157</v>
      </c>
      <c r="P19" s="606"/>
    </row>
    <row r="20" spans="1:16" ht="12.75" customHeight="1" x14ac:dyDescent="0.2">
      <c r="A20" s="602" t="s">
        <v>162</v>
      </c>
      <c r="B20" s="614"/>
      <c r="C20" s="604">
        <f>'[4] FOCO INCREMENTO'!C23+'[4] FOCO ESTIMACION'!C23</f>
        <v>337879.70151730324</v>
      </c>
      <c r="D20" s="604">
        <f>'[4] FOCO INCREMENTO'!D23+'[4] FOCO ESTIMACION'!D23</f>
        <v>340324.81281794817</v>
      </c>
      <c r="E20" s="604">
        <f>'[4] FOCO INCREMENTO'!E23+'[4] FOCO ESTIMACION'!E23</f>
        <v>337467.84817407792</v>
      </c>
      <c r="F20" s="604">
        <f>'[4] FOCO INCREMENTO'!F23+'[4] FOCO ESTIMACION'!F23</f>
        <v>353972.31909494393</v>
      </c>
      <c r="G20" s="604">
        <f>'[4] FOCO INCREMENTO'!G23+'[4] FOCO ESTIMACION'!G23</f>
        <v>353851.72359519941</v>
      </c>
      <c r="H20" s="604">
        <f>'[4] FOCO INCREMENTO'!H23+'[4] FOCO ESTIMACION'!H23</f>
        <v>360850.70680220856</v>
      </c>
      <c r="I20" s="604">
        <f>'[4] FOCO INCREMENTO'!I23+'[4] FOCO ESTIMACION'!I23</f>
        <v>350886.91301523236</v>
      </c>
      <c r="J20" s="604">
        <f>'[4] FOCO INCREMENTO'!J23+'[4] FOCO ESTIMACION'!J23</f>
        <v>354747.91075814457</v>
      </c>
      <c r="K20" s="604">
        <f>'[4] FOCO INCREMENTO'!K23+'[4] FOCO ESTIMACION'!K23</f>
        <v>344622.34276456496</v>
      </c>
      <c r="L20" s="604">
        <f>'[4] FOCO INCREMENTO'!L23+'[4] FOCO ESTIMACION'!L23</f>
        <v>337960.37444248161</v>
      </c>
      <c r="M20" s="604">
        <f>'[4] FOCO INCREMENTO'!M23+'[4] FOCO ESTIMACION'!M23</f>
        <v>341816.77536440716</v>
      </c>
      <c r="N20" s="604">
        <f>'[4] FOCO INCREMENTO'!N23+'[4] FOCO ESTIMACION'!N23</f>
        <v>308758.98990534758</v>
      </c>
      <c r="O20" s="605">
        <f t="shared" si="0"/>
        <v>4123140.4182518595</v>
      </c>
      <c r="P20" s="606"/>
    </row>
    <row r="21" spans="1:16" ht="12.75" customHeight="1" x14ac:dyDescent="0.2">
      <c r="A21" s="602" t="s">
        <v>163</v>
      </c>
      <c r="B21" s="614"/>
      <c r="C21" s="604">
        <f>'[4] FOCO INCREMENTO'!C24+'[4] FOCO ESTIMACION'!C24</f>
        <v>2236911.5451440504</v>
      </c>
      <c r="D21" s="604">
        <f>'[4] FOCO INCREMENTO'!D24+'[4] FOCO ESTIMACION'!D24</f>
        <v>2253409.3547156453</v>
      </c>
      <c r="E21" s="604">
        <f>'[4] FOCO INCREMENTO'!E24+'[4] FOCO ESTIMACION'!E24</f>
        <v>2191830.4002508712</v>
      </c>
      <c r="F21" s="604">
        <f>'[4] FOCO INCREMENTO'!F24+'[4] FOCO ESTIMACION'!F24</f>
        <v>2329012.6221805741</v>
      </c>
      <c r="G21" s="604">
        <f>'[4] FOCO INCREMENTO'!G24+'[4] FOCO ESTIMACION'!G24</f>
        <v>2306464.6597708012</v>
      </c>
      <c r="H21" s="604">
        <f>'[4] FOCO INCREMENTO'!H24+'[4] FOCO ESTIMACION'!H24</f>
        <v>2372349.8401521686</v>
      </c>
      <c r="I21" s="604">
        <f>'[4] FOCO INCREMENTO'!I24+'[4] FOCO ESTIMACION'!I24</f>
        <v>2285639.2377193514</v>
      </c>
      <c r="J21" s="604">
        <f>'[4] FOCO INCREMENTO'!J24+'[4] FOCO ESTIMACION'!J24</f>
        <v>2317073.2126520276</v>
      </c>
      <c r="K21" s="604">
        <f>'[4] FOCO INCREMENTO'!K24+'[4] FOCO ESTIMACION'!K24</f>
        <v>2256851.1157179568</v>
      </c>
      <c r="L21" s="604">
        <f>'[4] FOCO INCREMENTO'!L24+'[4] FOCO ESTIMACION'!L24</f>
        <v>2189899.6412557503</v>
      </c>
      <c r="M21" s="604">
        <f>'[4] FOCO INCREMENTO'!M24+'[4] FOCO ESTIMACION'!M24</f>
        <v>2231347.1639124178</v>
      </c>
      <c r="N21" s="604">
        <f>'[4] FOCO INCREMENTO'!N24+'[4] FOCO ESTIMACION'!N24</f>
        <v>2070437.0785207015</v>
      </c>
      <c r="O21" s="605">
        <f t="shared" si="0"/>
        <v>27041225.871992316</v>
      </c>
      <c r="P21" s="606"/>
    </row>
    <row r="22" spans="1:16" ht="12.75" customHeight="1" x14ac:dyDescent="0.2">
      <c r="A22" s="602" t="s">
        <v>164</v>
      </c>
      <c r="B22" s="614"/>
      <c r="C22" s="604">
        <f>'[4] FOCO INCREMENTO'!C25+'[4] FOCO ESTIMACION'!C25</f>
        <v>226321.55528975671</v>
      </c>
      <c r="D22" s="604">
        <f>'[4] FOCO INCREMENTO'!D25+'[4] FOCO ESTIMACION'!D25</f>
        <v>228048.68741470721</v>
      </c>
      <c r="E22" s="604">
        <f>'[4] FOCO INCREMENTO'!E25+'[4] FOCO ESTIMACION'!E25</f>
        <v>213845.30993281701</v>
      </c>
      <c r="F22" s="604">
        <f>'[4] FOCO INCREMENTO'!F25+'[4] FOCO ESTIMACION'!F25</f>
        <v>232941.61713395658</v>
      </c>
      <c r="G22" s="604">
        <f>'[4] FOCO INCREMENTO'!G25+'[4] FOCO ESTIMACION'!G25</f>
        <v>226595.79286355968</v>
      </c>
      <c r="H22" s="604">
        <f>'[4] FOCO INCREMENTO'!H25+'[4] FOCO ESTIMACION'!H25</f>
        <v>236915.03353808116</v>
      </c>
      <c r="I22" s="604">
        <f>'[4] FOCO INCREMENTO'!I25+'[4] FOCO ESTIMACION'!I25</f>
        <v>224265.05444790859</v>
      </c>
      <c r="J22" s="604">
        <f>'[4] FOCO INCREMENTO'!J25+'[4] FOCO ESTIMACION'!J25</f>
        <v>228542.85209447177</v>
      </c>
      <c r="K22" s="604">
        <f>'[4] FOCO INCREMENTO'!K25+'[4] FOCO ESTIMACION'!K25</f>
        <v>223723.1373924184</v>
      </c>
      <c r="L22" s="604">
        <f>'[4] FOCO INCREMENTO'!L25+'[4] FOCO ESTIMACION'!L25</f>
        <v>212679.78724376185</v>
      </c>
      <c r="M22" s="604">
        <f>'[4] FOCO INCREMENTO'!M25+'[4] FOCO ESTIMACION'!M25</f>
        <v>219847.71279347118</v>
      </c>
      <c r="N22" s="604">
        <f>'[4] FOCO INCREMENTO'!N25+'[4] FOCO ESTIMACION'!N25</f>
        <v>214396.48950518662</v>
      </c>
      <c r="O22" s="605">
        <f t="shared" si="0"/>
        <v>2688123.0296500972</v>
      </c>
      <c r="P22" s="606"/>
    </row>
    <row r="23" spans="1:16" ht="12.75" customHeight="1" thickBot="1" x14ac:dyDescent="0.25">
      <c r="A23" s="602" t="s">
        <v>165</v>
      </c>
      <c r="B23" s="615"/>
      <c r="C23" s="604">
        <f>'[4] FOCO INCREMENTO'!C26+'[4] FOCO ESTIMACION'!C26</f>
        <v>316677.92014081427</v>
      </c>
      <c r="D23" s="604">
        <f>'[4] FOCO INCREMENTO'!D26+'[4] FOCO ESTIMACION'!D26</f>
        <v>319074.88842420722</v>
      </c>
      <c r="E23" s="604">
        <f>'[4] FOCO INCREMENTO'!E26+'[4] FOCO ESTIMACION'!E26</f>
        <v>301911.63684907235</v>
      </c>
      <c r="F23" s="604">
        <f>'[4] FOCO INCREMENTO'!F26+'[4] FOCO ESTIMACION'!F26</f>
        <v>326858.34634578915</v>
      </c>
      <c r="G23" s="604">
        <f>'[4] FOCO INCREMENTO'!G26+'[4] FOCO ESTIMACION'!G26</f>
        <v>319360.86638977705</v>
      </c>
      <c r="H23" s="604">
        <f>'[4] FOCO INCREMENTO'!H26+'[4] FOCO ESTIMACION'!H26</f>
        <v>332557.92633437424</v>
      </c>
      <c r="I23" s="604">
        <f>'[4] FOCO INCREMENTO'!I26+'[4] FOCO ESTIMACION'!I26</f>
        <v>316175.66211982671</v>
      </c>
      <c r="J23" s="604">
        <f>'[4] FOCO INCREMENTO'!J26+'[4] FOCO ESTIMACION'!J26</f>
        <v>321788.21888827981</v>
      </c>
      <c r="K23" s="604">
        <f>'[4] FOCO INCREMENTO'!K26+'[4] FOCO ESTIMACION'!K26</f>
        <v>314611.38943959837</v>
      </c>
      <c r="L23" s="604">
        <f>'[4] FOCO INCREMENTO'!L26+'[4] FOCO ESTIMACION'!L26</f>
        <v>300610.63054300647</v>
      </c>
      <c r="M23" s="604">
        <f>'[4] FOCO INCREMENTO'!M26+'[4] FOCO ESTIMACION'!M26</f>
        <v>309629.02910593851</v>
      </c>
      <c r="N23" s="604">
        <f>'[4] FOCO INCREMENTO'!N26+'[4] FOCO ESTIMACION'!N26</f>
        <v>298319.84658681002</v>
      </c>
      <c r="O23" s="605">
        <f t="shared" si="0"/>
        <v>3777576.3611674942</v>
      </c>
      <c r="P23" s="606"/>
    </row>
    <row r="24" spans="1:16" ht="13.5" thickBot="1" x14ac:dyDescent="0.25">
      <c r="A24" s="607" t="s">
        <v>288</v>
      </c>
      <c r="B24" s="608">
        <f>SUM(B4:B23)</f>
        <v>0</v>
      </c>
      <c r="C24" s="609">
        <f>SUM(C4:C23)</f>
        <v>8049883.0500000007</v>
      </c>
      <c r="D24" s="609">
        <f t="shared" ref="D24:N24" si="1">SUM(D4:D23)</f>
        <v>8110499.4000000013</v>
      </c>
      <c r="E24" s="609">
        <f t="shared" si="1"/>
        <v>7717421.9249999998</v>
      </c>
      <c r="F24" s="609">
        <f t="shared" si="1"/>
        <v>8323290.4500000002</v>
      </c>
      <c r="G24" s="609">
        <f t="shared" si="1"/>
        <v>8154733.0499999989</v>
      </c>
      <c r="H24" s="609">
        <f t="shared" si="1"/>
        <v>8470401.3000000007</v>
      </c>
      <c r="I24" s="609">
        <f t="shared" si="1"/>
        <v>8074978.1999999993</v>
      </c>
      <c r="J24" s="609">
        <f t="shared" si="1"/>
        <v>8211700.7999999989</v>
      </c>
      <c r="K24" s="609">
        <f t="shared" si="1"/>
        <v>8022366.9000000013</v>
      </c>
      <c r="L24" s="609">
        <f t="shared" si="1"/>
        <v>7689608.3250000011</v>
      </c>
      <c r="M24" s="609">
        <f t="shared" si="1"/>
        <v>7902734.6250000019</v>
      </c>
      <c r="N24" s="609">
        <f t="shared" si="1"/>
        <v>7556571.8999999994</v>
      </c>
      <c r="O24" s="609">
        <f>SUM(C24:N24)</f>
        <v>96284189.925000012</v>
      </c>
    </row>
    <row r="25" spans="1:16" x14ac:dyDescent="0.2">
      <c r="A25" s="610"/>
      <c r="B25" s="610"/>
      <c r="C25" s="610"/>
      <c r="D25" s="610"/>
      <c r="E25" s="610"/>
      <c r="F25" s="610"/>
      <c r="G25" s="610"/>
      <c r="H25" s="610"/>
      <c r="I25" s="610"/>
      <c r="J25" s="610"/>
      <c r="K25" s="610"/>
      <c r="L25" s="610"/>
      <c r="M25" s="610"/>
      <c r="N25" s="610"/>
      <c r="O25" s="610"/>
    </row>
    <row r="26" spans="1:16" x14ac:dyDescent="0.2">
      <c r="A26" s="611" t="s">
        <v>289</v>
      </c>
      <c r="O26" s="606"/>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4" tint="0.39997558519241921"/>
  </sheetPr>
  <dimension ref="A1:Q26"/>
  <sheetViews>
    <sheetView workbookViewId="0">
      <selection activeCell="D8" sqref="D8"/>
    </sheetView>
  </sheetViews>
  <sheetFormatPr baseColWidth="10" defaultRowHeight="12.75" x14ac:dyDescent="0.2"/>
  <cols>
    <col min="1" max="1" width="16.85546875" style="597" customWidth="1"/>
    <col min="2" max="2" width="9.28515625" style="597" hidden="1" customWidth="1"/>
    <col min="3" max="10" width="7.85546875" style="597" customWidth="1"/>
    <col min="11" max="11" width="9.42578125" style="597" customWidth="1"/>
    <col min="12" max="12" width="7.85546875" style="597" customWidth="1"/>
    <col min="13" max="13" width="9.42578125" style="597" customWidth="1"/>
    <col min="14" max="14" width="8.5703125" style="597" customWidth="1"/>
    <col min="15" max="15" width="8.7109375" style="597" bestFit="1" customWidth="1"/>
    <col min="16" max="16" width="11.7109375" style="597" bestFit="1" customWidth="1"/>
    <col min="17" max="16384" width="11.42578125" style="597"/>
  </cols>
  <sheetData>
    <row r="1" spans="1:16" x14ac:dyDescent="0.2">
      <c r="A1" s="1255" t="s">
        <v>382</v>
      </c>
      <c r="B1" s="1255"/>
      <c r="C1" s="1255"/>
      <c r="D1" s="1255"/>
      <c r="E1" s="1255"/>
      <c r="F1" s="1255"/>
      <c r="G1" s="1255"/>
      <c r="H1" s="1255"/>
      <c r="I1" s="1255"/>
      <c r="J1" s="1255"/>
      <c r="K1" s="1255"/>
      <c r="L1" s="1255"/>
      <c r="M1" s="1255"/>
      <c r="N1" s="1255"/>
      <c r="O1" s="1255"/>
    </row>
    <row r="2" spans="1:16" ht="13.5" thickBot="1" x14ac:dyDescent="0.25"/>
    <row r="3" spans="1:16" ht="23.25" thickBot="1" x14ac:dyDescent="0.25">
      <c r="A3" s="598" t="s">
        <v>341</v>
      </c>
      <c r="B3" s="599" t="s">
        <v>281</v>
      </c>
      <c r="C3" s="598" t="s">
        <v>1</v>
      </c>
      <c r="D3" s="600" t="s">
        <v>2</v>
      </c>
      <c r="E3" s="598" t="s">
        <v>3</v>
      </c>
      <c r="F3" s="600" t="s">
        <v>4</v>
      </c>
      <c r="G3" s="598" t="s">
        <v>5</v>
      </c>
      <c r="H3" s="598" t="s">
        <v>6</v>
      </c>
      <c r="I3" s="598" t="s">
        <v>7</v>
      </c>
      <c r="J3" s="600" t="s">
        <v>8</v>
      </c>
      <c r="K3" s="598" t="s">
        <v>9</v>
      </c>
      <c r="L3" s="600" t="s">
        <v>10</v>
      </c>
      <c r="M3" s="598" t="s">
        <v>11</v>
      </c>
      <c r="N3" s="598" t="s">
        <v>12</v>
      </c>
      <c r="O3" s="601" t="s">
        <v>168</v>
      </c>
    </row>
    <row r="4" spans="1:16" ht="12.75" customHeight="1" x14ac:dyDescent="0.2">
      <c r="A4" s="602" t="s">
        <v>282</v>
      </c>
      <c r="B4" s="613"/>
      <c r="C4" s="604">
        <f>[4]IEPSGASINCREMENTO!C7+'[4]IEPSGAS ESTIMACIONES'!C7</f>
        <v>158003.16191889267</v>
      </c>
      <c r="D4" s="604">
        <f>[4]IEPSGASINCREMENTO!D7+'[4]IEPSGAS ESTIMACIONES'!D7</f>
        <v>159173.21571353698</v>
      </c>
      <c r="E4" s="604">
        <f>[4]IEPSGASINCREMENTO!E7+'[4]IEPSGAS ESTIMACIONES'!E7</f>
        <v>154171.52363969112</v>
      </c>
      <c r="F4" s="604">
        <f>[4]IEPSGASINCREMENTO!F7+'[4]IEPSGAS ESTIMACIONES'!F7</f>
        <v>164287.98695899823</v>
      </c>
      <c r="G4" s="604">
        <f>[4]IEPSGASINCREMENTO!G7+'[4]IEPSGAS ESTIMACIONES'!G7</f>
        <v>162362.89788612153</v>
      </c>
      <c r="H4" s="604">
        <f>[4]IEPSGASINCREMENTO!H7+'[4]IEPSGAS ESTIMACIONES'!H7</f>
        <v>167315.45673259062</v>
      </c>
      <c r="I4" s="604">
        <f>[4]IEPSGASINCREMENTO!I7+'[4]IEPSGAS ESTIMACIONES'!I7</f>
        <v>160873.6114335173</v>
      </c>
      <c r="J4" s="604">
        <f>[4]IEPSGASINCREMENTO!J7+'[4]IEPSGAS ESTIMACIONES'!J7</f>
        <v>163183.68391553813</v>
      </c>
      <c r="K4" s="604">
        <f>[4]IEPSGASINCREMENTO!K7+'[4]IEPSGAS ESTIMACIONES'!K7</f>
        <v>159034.06965854272</v>
      </c>
      <c r="L4" s="604">
        <f>[4]IEPSGASINCREMENTO!L7+'[4]IEPSGAS ESTIMACIONES'!L7</f>
        <v>153955.79267953325</v>
      </c>
      <c r="M4" s="604">
        <f>[4]IEPSGASINCREMENTO!M7+'[4]IEPSGAS ESTIMACIONES'!M7</f>
        <v>157126.69362675384</v>
      </c>
      <c r="N4" s="604">
        <f>[4]IEPSGASINCREMENTO!N7+'[4]IEPSGAS ESTIMACIONES'!N7</f>
        <v>146646.55149290251</v>
      </c>
      <c r="O4" s="605">
        <f>SUM(C4:N4)</f>
        <v>1906134.645656619</v>
      </c>
      <c r="P4" s="606"/>
    </row>
    <row r="5" spans="1:16" ht="12.75" customHeight="1" x14ac:dyDescent="0.2">
      <c r="A5" s="602" t="s">
        <v>147</v>
      </c>
      <c r="B5" s="614"/>
      <c r="C5" s="604">
        <f>[4]IEPSGASINCREMENTO!C8+'[4]IEPSGAS ESTIMACIONES'!C8</f>
        <v>65458.589763628042</v>
      </c>
      <c r="D5" s="604">
        <f>[4]IEPSGASINCREMENTO!D8+'[4]IEPSGAS ESTIMACIONES'!D8</f>
        <v>65945.904965347596</v>
      </c>
      <c r="E5" s="604">
        <f>[4]IEPSGASINCREMENTO!E8+'[4]IEPSGAS ESTIMACIONES'!E8</f>
        <v>63519.116616850064</v>
      </c>
      <c r="F5" s="604">
        <f>[4]IEPSGASINCREMENTO!F8+'[4]IEPSGAS ESTIMACIONES'!F8</f>
        <v>67942.281697750092</v>
      </c>
      <c r="G5" s="604">
        <f>[4]IEPSGASINCREMENTO!G8+'[4]IEPSGAS ESTIMACIONES'!G8</f>
        <v>66963.947231574799</v>
      </c>
      <c r="H5" s="604">
        <f>[4]IEPSGASINCREMENTO!H8+'[4]IEPSGAS ESTIMACIONES'!H8</f>
        <v>69178.227965725091</v>
      </c>
      <c r="I5" s="604">
        <f>[4]IEPSGASINCREMENTO!I8+'[4]IEPSGAS ESTIMACIONES'!I8</f>
        <v>66337.005001986079</v>
      </c>
      <c r="J5" s="604">
        <f>[4]IEPSGASINCREMENTO!J8+'[4]IEPSGAS ESTIMACIONES'!J8</f>
        <v>67342.852675681948</v>
      </c>
      <c r="K5" s="604">
        <f>[4]IEPSGASINCREMENTO!K8+'[4]IEPSGAS ESTIMACIONES'!K8</f>
        <v>65680.361947734738</v>
      </c>
      <c r="L5" s="604">
        <f>[4]IEPSGASINCREMENTO!L8+'[4]IEPSGAS ESTIMACIONES'!L8</f>
        <v>63386.587151522326</v>
      </c>
      <c r="M5" s="604">
        <f>[4]IEPSGASINCREMENTO!M8+'[4]IEPSGAS ESTIMACIONES'!M8</f>
        <v>64832.556450389777</v>
      </c>
      <c r="N5" s="604">
        <f>[4]IEPSGASINCREMENTO!N8+'[4]IEPSGAS ESTIMACIONES'!N8</f>
        <v>60972.464779506452</v>
      </c>
      <c r="O5" s="605">
        <f t="shared" ref="O5:O23" si="0">SUM(C5:N5)</f>
        <v>787559.89624769695</v>
      </c>
      <c r="P5" s="606"/>
    </row>
    <row r="6" spans="1:16" ht="12.75" customHeight="1" x14ac:dyDescent="0.2">
      <c r="A6" s="602" t="s">
        <v>148</v>
      </c>
      <c r="B6" s="614"/>
      <c r="C6" s="604">
        <f>[4]IEPSGASINCREMENTO!C9+'[4]IEPSGAS ESTIMACIONES'!C9</f>
        <v>48125.478487627683</v>
      </c>
      <c r="D6" s="604">
        <f>[4]IEPSGASINCREMENTO!D9+'[4]IEPSGAS ESTIMACIONES'!D9</f>
        <v>48484.389989804287</v>
      </c>
      <c r="E6" s="604">
        <f>[4]IEPSGASINCREMENTO!E9+'[4]IEPSGAS ESTIMACIONES'!E9</f>
        <v>46612.839107632455</v>
      </c>
      <c r="F6" s="604">
        <f>[4]IEPSGASINCREMENTO!F9+'[4]IEPSGAS ESTIMACIONES'!F9</f>
        <v>49921.934174082446</v>
      </c>
      <c r="G6" s="604">
        <f>[4]IEPSGASINCREMENTO!G9+'[4]IEPSGAS ESTIMACIONES'!G9</f>
        <v>49158.121332023744</v>
      </c>
      <c r="H6" s="604">
        <f>[4]IEPSGASINCREMENTO!H9+'[4]IEPSGAS ESTIMACIONES'!H9</f>
        <v>50826.101547345061</v>
      </c>
      <c r="I6" s="604">
        <f>[4]IEPSGASINCREMENTO!I9+'[4]IEPSGAS ESTIMACIONES'!I9</f>
        <v>48694.739060591892</v>
      </c>
      <c r="J6" s="604">
        <f>[4]IEPSGASINCREMENTO!J9+'[4]IEPSGAS ESTIMACIONES'!J9</f>
        <v>49446.268280952019</v>
      </c>
      <c r="K6" s="604">
        <f>[4]IEPSGASINCREMENTO!K9+'[4]IEPSGAS ESTIMACIONES'!K9</f>
        <v>48237.949047840186</v>
      </c>
      <c r="L6" s="604">
        <f>[4]IEPSGASINCREMENTO!L9+'[4]IEPSGAS ESTIMACIONES'!L9</f>
        <v>46504.772160810142</v>
      </c>
      <c r="M6" s="604">
        <f>[4]IEPSGASINCREMENTO!M9+'[4]IEPSGAS ESTIMACIONES'!M9</f>
        <v>47600.448032537344</v>
      </c>
      <c r="N6" s="604">
        <f>[4]IEPSGASINCREMENTO!N9+'[4]IEPSGAS ESTIMACIONES'!N9</f>
        <v>44881.147230831746</v>
      </c>
      <c r="O6" s="605">
        <f t="shared" si="0"/>
        <v>578494.18845207908</v>
      </c>
      <c r="P6" s="606"/>
    </row>
    <row r="7" spans="1:16" ht="12.75" customHeight="1" x14ac:dyDescent="0.2">
      <c r="A7" s="602" t="s">
        <v>283</v>
      </c>
      <c r="B7" s="614"/>
      <c r="C7" s="604">
        <f>[4]IEPSGASINCREMENTO!C10+'[4]IEPSGAS ESTIMACIONES'!C10</f>
        <v>461516.49954258977</v>
      </c>
      <c r="D7" s="604">
        <f>[4]IEPSGASINCREMENTO!D10+'[4]IEPSGAS ESTIMACIONES'!D10</f>
        <v>465148.47126934107</v>
      </c>
      <c r="E7" s="604">
        <f>[4]IEPSGASINCREMENTO!E10+'[4]IEPSGAS ESTIMACIONES'!E10</f>
        <v>421049.98750199331</v>
      </c>
      <c r="F7" s="604">
        <f>[4]IEPSGASINCREMENTO!F10+'[4]IEPSGAS ESTIMACIONES'!F10</f>
        <v>469894.03767144686</v>
      </c>
      <c r="G7" s="604">
        <f>[4]IEPSGASINCREMENTO!G10+'[4]IEPSGAS ESTIMACIONES'!G10</f>
        <v>449238.12855146552</v>
      </c>
      <c r="H7" s="604">
        <f>[4]IEPSGASINCREMENTO!H10+'[4]IEPSGAS ESTIMACIONES'!H10</f>
        <v>477215.97163923073</v>
      </c>
      <c r="I7" s="604">
        <f>[4]IEPSGASINCREMENTO!I10+'[4]IEPSGAS ESTIMACIONES'!I10</f>
        <v>444060.62977539864</v>
      </c>
      <c r="J7" s="604">
        <f>[4]IEPSGASINCREMENTO!J10+'[4]IEPSGAS ESTIMACIONES'!J10</f>
        <v>454867.12775422557</v>
      </c>
      <c r="K7" s="604">
        <f>[4]IEPSGASINCREMENTO!K10+'[4]IEPSGAS ESTIMACIONES'!K10</f>
        <v>447455.79918356985</v>
      </c>
      <c r="L7" s="604">
        <f>[4]IEPSGASINCREMENTO!L10+'[4]IEPSGAS ESTIMACIONES'!L10</f>
        <v>416831.58916406828</v>
      </c>
      <c r="M7" s="604">
        <f>[4]IEPSGASINCREMENTO!M10+'[4]IEPSGAS ESTIMACIONES'!M10</f>
        <v>437094.71407056204</v>
      </c>
      <c r="N7" s="604">
        <f>[4]IEPSGASINCREMENTO!N10+'[4]IEPSGAS ESTIMACIONES'!N10</f>
        <v>446534.63989518961</v>
      </c>
      <c r="O7" s="605">
        <f t="shared" si="0"/>
        <v>5390907.5960190808</v>
      </c>
      <c r="P7" s="606"/>
    </row>
    <row r="8" spans="1:16" ht="12.75" customHeight="1" x14ac:dyDescent="0.2">
      <c r="A8" s="602" t="s">
        <v>150</v>
      </c>
      <c r="B8" s="614"/>
      <c r="C8" s="604">
        <f>[4]IEPSGASINCREMENTO!C11+'[4]IEPSGAS ESTIMACIONES'!C11</f>
        <v>297283.44680235273</v>
      </c>
      <c r="D8" s="604">
        <f>[4]IEPSGASINCREMENTO!D11+'[4]IEPSGAS ESTIMACIONES'!D11</f>
        <v>299512.54818395601</v>
      </c>
      <c r="E8" s="604">
        <f>[4]IEPSGASINCREMENTO!E11+'[4]IEPSGAS ESTIMACIONES'!E11</f>
        <v>286298.6536621541</v>
      </c>
      <c r="F8" s="604">
        <f>[4]IEPSGASINCREMENTO!F11+'[4]IEPSGAS ESTIMACIONES'!F11</f>
        <v>307821.2383964748</v>
      </c>
      <c r="G8" s="604">
        <f>[4]IEPSGASINCREMENTO!G11+'[4]IEPSGAS ESTIMACIONES'!G11</f>
        <v>302260.3827585337</v>
      </c>
      <c r="H8" s="604">
        <f>[4]IEPSGASINCREMENTO!H11+'[4]IEPSGAS ESTIMACIONES'!H11</f>
        <v>313321.25537628366</v>
      </c>
      <c r="I8" s="604">
        <f>[4]IEPSGASINCREMENTO!I11+'[4]IEPSGAS ESTIMACIONES'!I11</f>
        <v>299351.57617467543</v>
      </c>
      <c r="J8" s="604">
        <f>[4]IEPSGASINCREMENTO!J11+'[4]IEPSGAS ESTIMACIONES'!J11</f>
        <v>304221.46739004867</v>
      </c>
      <c r="K8" s="604">
        <f>[4]IEPSGASINCREMENTO!K11+'[4]IEPSGAS ESTIMACIONES'!K11</f>
        <v>297021.330310071</v>
      </c>
      <c r="L8" s="604">
        <f>[4]IEPSGASINCREMENTO!L11+'[4]IEPSGAS ESTIMACIONES'!L11</f>
        <v>285429.97519951296</v>
      </c>
      <c r="M8" s="604">
        <f>[4]IEPSGASINCREMENTO!M11+'[4]IEPSGAS ESTIMACIONES'!M11</f>
        <v>292814.85745173017</v>
      </c>
      <c r="N8" s="604">
        <f>[4]IEPSGASINCREMENTO!N11+'[4]IEPSGAS ESTIMACIONES'!N11</f>
        <v>278261.92511201667</v>
      </c>
      <c r="O8" s="605">
        <f t="shared" si="0"/>
        <v>3563598.6568178097</v>
      </c>
      <c r="P8" s="606"/>
    </row>
    <row r="9" spans="1:16" ht="12.75" customHeight="1" x14ac:dyDescent="0.2">
      <c r="A9" s="602" t="s">
        <v>284</v>
      </c>
      <c r="B9" s="614"/>
      <c r="C9" s="604">
        <f>[4]IEPSGASINCREMENTO!C12+'[4]IEPSGAS ESTIMACIONES'!C12</f>
        <v>152123.16341179315</v>
      </c>
      <c r="D9" s="604">
        <f>[4]IEPSGASINCREMENTO!D12+'[4]IEPSGAS ESTIMACIONES'!D12</f>
        <v>153283.91297864259</v>
      </c>
      <c r="E9" s="604">
        <f>[4]IEPSGASINCREMENTO!E12+'[4]IEPSGAS ESTIMACIONES'!E12</f>
        <v>143757.45375581307</v>
      </c>
      <c r="F9" s="604">
        <f>[4]IEPSGASINCREMENTO!F12+'[4]IEPSGAS ESTIMACIONES'!F12</f>
        <v>156579.77771525295</v>
      </c>
      <c r="G9" s="604">
        <f>[4]IEPSGASINCREMENTO!G12+'[4]IEPSGAS ESTIMACIONES'!G12</f>
        <v>152324.80390441854</v>
      </c>
      <c r="H9" s="604">
        <f>[4]IEPSGASINCREMENTO!H12+'[4]IEPSGAS ESTIMACIONES'!H12</f>
        <v>159251.58349912107</v>
      </c>
      <c r="I9" s="604">
        <f>[4]IEPSGASINCREMENTO!I12+'[4]IEPSGAS ESTIMACIONES'!I12</f>
        <v>150758.76267360966</v>
      </c>
      <c r="J9" s="604">
        <f>[4]IEPSGASINCREMENTO!J12+'[4]IEPSGAS ESTIMACIONES'!J12</f>
        <v>153631.28906512342</v>
      </c>
      <c r="K9" s="604">
        <f>[4]IEPSGASINCREMENTO!K12+'[4]IEPSGAS ESTIMACIONES'!K12</f>
        <v>150388.43759153117</v>
      </c>
      <c r="L9" s="604">
        <f>[4]IEPSGASINCREMENTO!L12+'[4]IEPSGAS ESTIMACIONES'!L12</f>
        <v>142976.5195940999</v>
      </c>
      <c r="M9" s="604">
        <f>[4]IEPSGASINCREMENTO!M12+'[4]IEPSGAS ESTIMACIONES'!M12</f>
        <v>147786.86913485371</v>
      </c>
      <c r="N9" s="604">
        <f>[4]IEPSGASINCREMENTO!N12+'[4]IEPSGAS ESTIMACIONES'!N12</f>
        <v>144095.0727897188</v>
      </c>
      <c r="O9" s="605">
        <f t="shared" si="0"/>
        <v>1806957.6461139782</v>
      </c>
      <c r="P9" s="606"/>
    </row>
    <row r="10" spans="1:16" ht="12.75" customHeight="1" x14ac:dyDescent="0.2">
      <c r="A10" s="602" t="s">
        <v>152</v>
      </c>
      <c r="B10" s="614"/>
      <c r="C10" s="604">
        <f>[4]IEPSGASINCREMENTO!C13+'[4]IEPSGAS ESTIMACIONES'!C13</f>
        <v>49732.15358347883</v>
      </c>
      <c r="D10" s="604">
        <f>[4]IEPSGASINCREMENTO!D13+'[4]IEPSGAS ESTIMACIONES'!D13</f>
        <v>50104.955027616947</v>
      </c>
      <c r="E10" s="604">
        <f>[4]IEPSGASINCREMENTO!E13+'[4]IEPSGAS ESTIMACIONES'!E13</f>
        <v>47908.450194461497</v>
      </c>
      <c r="F10" s="604">
        <f>[4]IEPSGASINCREMENTO!F13+'[4]IEPSGAS ESTIMACIONES'!F13</f>
        <v>51499.754998811353</v>
      </c>
      <c r="G10" s="604">
        <f>[4]IEPSGASINCREMENTO!G13+'[4]IEPSGAS ESTIMACIONES'!G13</f>
        <v>50576.639082730719</v>
      </c>
      <c r="H10" s="604">
        <f>[4]IEPSGASINCREMENTO!H13+'[4]IEPSGAS ESTIMACIONES'!H13</f>
        <v>52420.569246103027</v>
      </c>
      <c r="I10" s="604">
        <f>[4]IEPSGASINCREMENTO!I13+'[4]IEPSGAS ESTIMACIONES'!I13</f>
        <v>50090.422339830024</v>
      </c>
      <c r="J10" s="604">
        <f>[4]IEPSGASINCREMENTO!J13+'[4]IEPSGAS ESTIMACIONES'!J13</f>
        <v>50903.168846203276</v>
      </c>
      <c r="K10" s="604">
        <f>[4]IEPSGASINCREMENTO!K13+'[4]IEPSGAS ESTIMACIONES'!K13</f>
        <v>49696.426843734676</v>
      </c>
      <c r="L10" s="604">
        <f>[4]IEPSGASINCREMENTO!L13+'[4]IEPSGAS ESTIMACIONES'!L13</f>
        <v>47764.837330455637</v>
      </c>
      <c r="M10" s="604">
        <f>[4]IEPSGASINCREMENTO!M13+'[4]IEPSGAS ESTIMACIONES'!M13</f>
        <v>48995.010427735906</v>
      </c>
      <c r="N10" s="604">
        <f>[4]IEPSGASINCREMENTO!N13+'[4]IEPSGAS ESTIMACIONES'!N13</f>
        <v>46541.414092921143</v>
      </c>
      <c r="O10" s="605">
        <f t="shared" si="0"/>
        <v>596233.80201408314</v>
      </c>
      <c r="P10" s="606"/>
    </row>
    <row r="11" spans="1:16" ht="12.75" customHeight="1" x14ac:dyDescent="0.2">
      <c r="A11" s="602" t="s">
        <v>153</v>
      </c>
      <c r="B11" s="614"/>
      <c r="C11" s="604">
        <f>[4]IEPSGASINCREMENTO!C14+'[4]IEPSGAS ESTIMACIONES'!C14</f>
        <v>119587.20758981175</v>
      </c>
      <c r="D11" s="604">
        <f>[4]IEPSGASINCREMENTO!D14+'[4]IEPSGAS ESTIMACIONES'!D14</f>
        <v>120478.89904626022</v>
      </c>
      <c r="E11" s="604">
        <f>[4]IEPSGASINCREMENTO!E14+'[4]IEPSGAS ESTIMACIONES'!E14</f>
        <v>115851.56444765819</v>
      </c>
      <c r="F11" s="604">
        <f>[4]IEPSGASINCREMENTO!F14+'[4]IEPSGAS ESTIMACIONES'!F14</f>
        <v>124059.1101903736</v>
      </c>
      <c r="G11" s="604">
        <f>[4]IEPSGASINCREMENTO!G14+'[4]IEPSGAS ESTIMACIONES'!G14</f>
        <v>122172.98127823528</v>
      </c>
      <c r="H11" s="604">
        <f>[4]IEPSGASINCREMENTO!H14+'[4]IEPSGAS ESTIMACIONES'!H14</f>
        <v>126307.08092673833</v>
      </c>
      <c r="I11" s="604">
        <f>[4]IEPSGASINCREMENTO!I14+'[4]IEPSGAS ESTIMACIONES'!I14</f>
        <v>121022.17416028492</v>
      </c>
      <c r="J11" s="604">
        <f>[4]IEPSGASINCREMENTO!J14+'[4]IEPSGAS ESTIMACIONES'!J14</f>
        <v>122886.44660871149</v>
      </c>
      <c r="K11" s="604">
        <f>[4]IEPSGASINCREMENTO!K14+'[4]IEPSGAS ESTIMACIONES'!K14</f>
        <v>119880.16949595929</v>
      </c>
      <c r="L11" s="604">
        <f>[4]IEPSGASINCREMENTO!L14+'[4]IEPSGAS ESTIMACIONES'!L14</f>
        <v>115585.86242473146</v>
      </c>
      <c r="M11" s="604">
        <f>[4]IEPSGASINCREMENTO!M14+'[4]IEPSGAS ESTIMACIONES'!M14</f>
        <v>118299.82343410715</v>
      </c>
      <c r="N11" s="604">
        <f>[4]IEPSGASINCREMENTO!N14+'[4]IEPSGAS ESTIMACIONES'!N14</f>
        <v>111510.98854304329</v>
      </c>
      <c r="O11" s="605">
        <f t="shared" si="0"/>
        <v>1437642.3081459152</v>
      </c>
      <c r="P11" s="606"/>
    </row>
    <row r="12" spans="1:16" ht="12.75" customHeight="1" x14ac:dyDescent="0.2">
      <c r="A12" s="602" t="s">
        <v>154</v>
      </c>
      <c r="B12" s="614"/>
      <c r="C12" s="604">
        <f>[4]IEPSGASINCREMENTO!C15+'[4]IEPSGAS ESTIMACIONES'!C15</f>
        <v>74889.163272332866</v>
      </c>
      <c r="D12" s="604">
        <f>[4]IEPSGASINCREMENTO!D15+'[4]IEPSGAS ESTIMACIONES'!D15</f>
        <v>75448.392320033046</v>
      </c>
      <c r="E12" s="604">
        <f>[4]IEPSGASINCREMENTO!E15+'[4]IEPSGAS ESTIMACIONES'!E15</f>
        <v>72437.15542032673</v>
      </c>
      <c r="F12" s="604">
        <f>[4]IEPSGASINCREMENTO!F15+'[4]IEPSGAS ESTIMACIONES'!F15</f>
        <v>77651.207191460606</v>
      </c>
      <c r="G12" s="604">
        <f>[4]IEPSGASINCREMENTO!G15+'[4]IEPSGAS ESTIMACIONES'!G15</f>
        <v>76412.216667871238</v>
      </c>
      <c r="H12" s="604">
        <f>[4]IEPSGASINCREMENTO!H15+'[4]IEPSGAS ESTIMACIONES'!H15</f>
        <v>79053.102714693508</v>
      </c>
      <c r="I12" s="604">
        <f>[4]IEPSGASINCREMENTO!I15+'[4]IEPSGAS ESTIMACIONES'!I15</f>
        <v>75688.362686004708</v>
      </c>
      <c r="J12" s="604">
        <f>[4]IEPSGASINCREMENTO!J15+'[4]IEPSGAS ESTIMACIONES'!J15</f>
        <v>76871.443816500483</v>
      </c>
      <c r="K12" s="604">
        <f>[4]IEPSGASINCREMENTO!K15+'[4]IEPSGAS ESTIMACIONES'!K15</f>
        <v>75006.940718951941</v>
      </c>
      <c r="L12" s="604">
        <f>[4]IEPSGASINCREMENTO!L15+'[4]IEPSGAS ESTIMACIONES'!L15</f>
        <v>72256.958839315426</v>
      </c>
      <c r="M12" s="604">
        <f>[4]IEPSGASINCREMENTO!M15+'[4]IEPSGAS ESTIMACIONES'!M15</f>
        <v>73998.851071968063</v>
      </c>
      <c r="N12" s="604">
        <f>[4]IEPSGASINCREMENTO!N15+'[4]IEPSGAS ESTIMACIONES'!N15</f>
        <v>69901.574349317292</v>
      </c>
      <c r="O12" s="605">
        <f t="shared" si="0"/>
        <v>899615.36906877602</v>
      </c>
      <c r="P12" s="606"/>
    </row>
    <row r="13" spans="1:16" ht="12.75" customHeight="1" x14ac:dyDescent="0.2">
      <c r="A13" s="602" t="s">
        <v>155</v>
      </c>
      <c r="B13" s="614"/>
      <c r="C13" s="604">
        <f>[4]IEPSGASINCREMENTO!C16+'[4]IEPSGAS ESTIMACIONES'!C16</f>
        <v>56745.24320938866</v>
      </c>
      <c r="D13" s="604">
        <f>[4]IEPSGASINCREMENTO!D16+'[4]IEPSGAS ESTIMACIONES'!D16</f>
        <v>57170.212089921333</v>
      </c>
      <c r="E13" s="604">
        <f>[4]IEPSGASINCREMENTO!E16+'[4]IEPSGAS ESTIMACIONES'!E16</f>
        <v>54719.546446642889</v>
      </c>
      <c r="F13" s="604">
        <f>[4]IEPSGASINCREMENTO!F16+'[4]IEPSGAS ESTIMACIONES'!F16</f>
        <v>58780.91836396898</v>
      </c>
      <c r="G13" s="604">
        <f>[4]IEPSGASINCREMENTO!G16+'[4]IEPSGAS ESTIMACIONES'!G16</f>
        <v>57755.962941433645</v>
      </c>
      <c r="H13" s="604">
        <f>[4]IEPSGASINCREMENTO!H16+'[4]IEPSGAS ESTIMACIONES'!H16</f>
        <v>59834.450419482164</v>
      </c>
      <c r="I13" s="604">
        <f>[4]IEPSGASINCREMENTO!I16+'[4]IEPSGAS ESTIMACIONES'!I16</f>
        <v>57202.740841031067</v>
      </c>
      <c r="J13" s="604">
        <f>[4]IEPSGASINCREMENTO!J16+'[4]IEPSGAS ESTIMACIONES'!J16</f>
        <v>58122.447829746132</v>
      </c>
      <c r="K13" s="604">
        <f>[4]IEPSGASINCREMENTO!K16+'[4]IEPSGAS ESTIMACIONES'!K16</f>
        <v>56736.657569553645</v>
      </c>
      <c r="L13" s="604">
        <f>[4]IEPSGASINCREMENTO!L16+'[4]IEPSGAS ESTIMACIONES'!L16</f>
        <v>54562.445284829759</v>
      </c>
      <c r="M13" s="604">
        <f>[4]IEPSGASINCREMENTO!M16+'[4]IEPSGAS ESTIMACIONES'!M16</f>
        <v>55945.357697587664</v>
      </c>
      <c r="N13" s="604">
        <f>[4]IEPSGASINCREMENTO!N16+'[4]IEPSGAS ESTIMACIONES'!N16</f>
        <v>53070.267788921046</v>
      </c>
      <c r="O13" s="605">
        <f t="shared" si="0"/>
        <v>680646.25048250693</v>
      </c>
      <c r="P13" s="606"/>
    </row>
    <row r="14" spans="1:16" ht="12.75" customHeight="1" x14ac:dyDescent="0.2">
      <c r="A14" s="602" t="s">
        <v>156</v>
      </c>
      <c r="B14" s="614"/>
      <c r="C14" s="604">
        <f>[4]IEPSGASINCREMENTO!C17+'[4]IEPSGAS ESTIMACIONES'!C17</f>
        <v>145752.82676427998</v>
      </c>
      <c r="D14" s="604">
        <f>[4]IEPSGASINCREMENTO!D17+'[4]IEPSGAS ESTIMACIONES'!D17</f>
        <v>146829.48754779249</v>
      </c>
      <c r="E14" s="604">
        <f>[4]IEPSGASINCREMENTO!E17+'[4]IEPSGAS ESTIMACIONES'!E17</f>
        <v>142583.79936821543</v>
      </c>
      <c r="F14" s="604">
        <f>[4]IEPSGASINCREMENTO!F17+'[4]IEPSGAS ESTIMACIONES'!F17</f>
        <v>151674.99034096661</v>
      </c>
      <c r="G14" s="604">
        <f>[4]IEPSGASINCREMENTO!G17+'[4]IEPSGAS ESTIMACIONES'!G17</f>
        <v>150086.86477377423</v>
      </c>
      <c r="H14" s="604">
        <f>[4]IEPSGASINCREMENTO!H17+'[4]IEPSGAS ESTIMACIONES'!H17</f>
        <v>154486.72681937757</v>
      </c>
      <c r="I14" s="604">
        <f>[4]IEPSGASINCREMENTO!I17+'[4]IEPSGAS ESTIMACIONES'!I17</f>
        <v>148723.37722110859</v>
      </c>
      <c r="J14" s="604">
        <f>[4]IEPSGASINCREMENTO!J17+'[4]IEPSGAS ESTIMACIONES'!J17</f>
        <v>150803.66297348967</v>
      </c>
      <c r="K14" s="604">
        <f>[4]IEPSGASINCREMENTO!K17+'[4]IEPSGAS ESTIMACIONES'!K17</f>
        <v>146916.97362572429</v>
      </c>
      <c r="L14" s="604">
        <f>[4]IEPSGASINCREMENTO!L17+'[4]IEPSGAS ESTIMACIONES'!L17</f>
        <v>142429.59919506795</v>
      </c>
      <c r="M14" s="604">
        <f>[4]IEPSGASINCREMENTO!M17+'[4]IEPSGAS ESTIMACIONES'!M17</f>
        <v>145217.28792884928</v>
      </c>
      <c r="N14" s="604">
        <f>[4]IEPSGASINCREMENTO!N17+'[4]IEPSGAS ESTIMACIONES'!N17</f>
        <v>135049.59051396593</v>
      </c>
      <c r="O14" s="605">
        <f t="shared" si="0"/>
        <v>1760555.1870726119</v>
      </c>
      <c r="P14" s="606"/>
    </row>
    <row r="15" spans="1:16" ht="12.75" customHeight="1" x14ac:dyDescent="0.2">
      <c r="A15" s="602" t="s">
        <v>157</v>
      </c>
      <c r="B15" s="614"/>
      <c r="C15" s="604">
        <f>[4]IEPSGASINCREMENTO!C18+'[4]IEPSGAS ESTIMACIONES'!C18</f>
        <v>98523.675122028711</v>
      </c>
      <c r="D15" s="604">
        <f>[4]IEPSGASINCREMENTO!D18+'[4]IEPSGAS ESTIMACIONES'!D18</f>
        <v>99260.947188703372</v>
      </c>
      <c r="E15" s="604">
        <f>[4]IEPSGASINCREMENTO!E18+'[4]IEPSGAS ESTIMACIONES'!E18</f>
        <v>95085.552011219406</v>
      </c>
      <c r="F15" s="604">
        <f>[4]IEPSGASINCREMENTO!F18+'[4]IEPSGAS ESTIMACIONES'!F18</f>
        <v>102085.03345488779</v>
      </c>
      <c r="G15" s="604">
        <f>[4]IEPSGASINCREMENTO!G18+'[4]IEPSGAS ESTIMACIONES'!G18</f>
        <v>100346.01838283156</v>
      </c>
      <c r="H15" s="604">
        <f>[4]IEPSGASINCREMENTO!H18+'[4]IEPSGAS ESTIMACIONES'!H18</f>
        <v>103918.32776493867</v>
      </c>
      <c r="I15" s="604">
        <f>[4]IEPSGASINCREMENTO!I18+'[4]IEPSGAS ESTIMACIONES'!I18</f>
        <v>99387.721322026831</v>
      </c>
      <c r="J15" s="604">
        <f>[4]IEPSGASINCREMENTO!J18+'[4]IEPSGAS ESTIMACIONES'!J18</f>
        <v>100973.60732078303</v>
      </c>
      <c r="K15" s="604">
        <f>[4]IEPSGASINCREMENTO!K18+'[4]IEPSGAS ESTIMACIONES'!K18</f>
        <v>98554.828998593046</v>
      </c>
      <c r="L15" s="604">
        <f>[4]IEPSGASINCREMENTO!L18+'[4]IEPSGAS ESTIMACIONES'!L18</f>
        <v>94822.467087724421</v>
      </c>
      <c r="M15" s="604">
        <f>[4]IEPSGASINCREMENTO!M18+'[4]IEPSGAS ESTIMACIONES'!M18</f>
        <v>97193.861105965989</v>
      </c>
      <c r="N15" s="604">
        <f>[4]IEPSGASINCREMENTO!N18+'[4]IEPSGAS ESTIMACIONES'!N18</f>
        <v>92093.938085297297</v>
      </c>
      <c r="O15" s="605">
        <f t="shared" si="0"/>
        <v>1182245.9778450001</v>
      </c>
      <c r="P15" s="606"/>
    </row>
    <row r="16" spans="1:16" ht="12.75" customHeight="1" x14ac:dyDescent="0.2">
      <c r="A16" s="602" t="s">
        <v>158</v>
      </c>
      <c r="B16" s="614"/>
      <c r="C16" s="604">
        <f>[4]IEPSGASINCREMENTO!C19+'[4]IEPSGAS ESTIMACIONES'!C19</f>
        <v>175769.49091383175</v>
      </c>
      <c r="D16" s="604">
        <f>[4]IEPSGASINCREMENTO!D19+'[4]IEPSGAS ESTIMACIONES'!D19</f>
        <v>177083.96048798432</v>
      </c>
      <c r="E16" s="604">
        <f>[4]IEPSGASINCREMENTO!E19+'[4]IEPSGAS ESTIMACIONES'!E19</f>
        <v>169751.61420175934</v>
      </c>
      <c r="F16" s="604">
        <f>[4]IEPSGASINCREMENTO!F19+'[4]IEPSGAS ESTIMACIONES'!F19</f>
        <v>182162.56580597573</v>
      </c>
      <c r="G16" s="604">
        <f>[4]IEPSGASINCREMENTO!G19+'[4]IEPSGAS ESTIMACIONES'!G19</f>
        <v>179119.59513485848</v>
      </c>
      <c r="H16" s="604">
        <f>[4]IEPSGASINCREMENTO!H19+'[4]IEPSGAS ESTIMACIONES'!H19</f>
        <v>185439.24287550888</v>
      </c>
      <c r="I16" s="604">
        <f>[4]IEPSGASINCREMENTO!I19+'[4]IEPSGAS ESTIMACIONES'!I19</f>
        <v>177413.23577857245</v>
      </c>
      <c r="J16" s="604">
        <f>[4]IEPSGASINCREMENTO!J19+'[4]IEPSGAS ESTIMACIONES'!J19</f>
        <v>180226.44633056334</v>
      </c>
      <c r="K16" s="604">
        <f>[4]IEPSGASINCREMENTO!K19+'[4]IEPSGAS ESTIMACIONES'!K19</f>
        <v>175892.62930066464</v>
      </c>
      <c r="L16" s="604">
        <f>[4]IEPSGASINCREMENTO!L19+'[4]IEPSGAS ESTIMACIONES'!L19</f>
        <v>169296.46187523025</v>
      </c>
      <c r="M16" s="604">
        <f>[4]IEPSGASINCREMENTO!M19+'[4]IEPSGAS ESTIMACIONES'!M19</f>
        <v>173483.57222442765</v>
      </c>
      <c r="N16" s="604">
        <f>[4]IEPSGASINCREMENTO!N19+'[4]IEPSGAS ESTIMACIONES'!N19</f>
        <v>164226.64407634322</v>
      </c>
      <c r="O16" s="605">
        <f t="shared" si="0"/>
        <v>2109865.4590057204</v>
      </c>
      <c r="P16" s="606"/>
    </row>
    <row r="17" spans="1:17" ht="12.75" customHeight="1" x14ac:dyDescent="0.2">
      <c r="A17" s="602" t="s">
        <v>285</v>
      </c>
      <c r="B17" s="614"/>
      <c r="C17" s="604">
        <f>[4]IEPSGASINCREMENTO!C20+'[4]IEPSGAS ESTIMACIONES'!C20</f>
        <v>32244.572900163199</v>
      </c>
      <c r="D17" s="604">
        <f>[4]IEPSGASINCREMENTO!D20+'[4]IEPSGAS ESTIMACIONES'!D20</f>
        <v>32482.755758432409</v>
      </c>
      <c r="E17" s="604">
        <f>[4]IEPSGASINCREMENTO!E20+'[4]IEPSGAS ESTIMACIONES'!E20</f>
        <v>31544.097903691505</v>
      </c>
      <c r="F17" s="604">
        <f>[4]IEPSGASINCREMENTO!F20+'[4]IEPSGAS ESTIMACIONES'!F20</f>
        <v>33554.925127905692</v>
      </c>
      <c r="G17" s="604">
        <f>[4]IEPSGASINCREMENTO!G20+'[4]IEPSGAS ESTIMACIONES'!G20</f>
        <v>33203.896716739029</v>
      </c>
      <c r="H17" s="604">
        <f>[4]IEPSGASINCREMENTO!H20+'[4]IEPSGAS ESTIMACIONES'!H20</f>
        <v>34176.990593056005</v>
      </c>
      <c r="I17" s="604">
        <f>[4]IEPSGASINCREMENTO!I20+'[4]IEPSGAS ESTIMACIONES'!I20</f>
        <v>32902.272416213636</v>
      </c>
      <c r="J17" s="604">
        <f>[4]IEPSGASINCREMENTO!J20+'[4]IEPSGAS ESTIMACIONES'!J20</f>
        <v>33362.405945649196</v>
      </c>
      <c r="K17" s="604">
        <f>[4]IEPSGASINCREMENTO!K20+'[4]IEPSGAS ESTIMACIONES'!K20</f>
        <v>32502.465503916759</v>
      </c>
      <c r="L17" s="604">
        <f>[4]IEPSGASINCREMENTO!L20+'[4]IEPSGAS ESTIMACIONES'!L20</f>
        <v>31510.058315899114</v>
      </c>
      <c r="M17" s="604">
        <f>[4]IEPSGASINCREMENTO!M20+'[4]IEPSGAS ESTIMACIONES'!M20</f>
        <v>32126.546301778541</v>
      </c>
      <c r="N17" s="604">
        <f>[4]IEPSGASINCREMENTO!N20+'[4]IEPSGAS ESTIMACIONES'!N20</f>
        <v>29876.345831047904</v>
      </c>
      <c r="O17" s="605">
        <f t="shared" si="0"/>
        <v>389487.33331449301</v>
      </c>
      <c r="P17" s="606"/>
    </row>
    <row r="18" spans="1:17" ht="12.75" customHeight="1" x14ac:dyDescent="0.2">
      <c r="A18" s="602" t="s">
        <v>286</v>
      </c>
      <c r="B18" s="614"/>
      <c r="C18" s="604">
        <f>[4]IEPSGASINCREMENTO!C21+'[4]IEPSGAS ESTIMACIONES'!C21</f>
        <v>98925.538994396033</v>
      </c>
      <c r="D18" s="604">
        <f>[4]IEPSGASINCREMENTO!D21+'[4]IEPSGAS ESTIMACIONES'!D21</f>
        <v>99658.720048617077</v>
      </c>
      <c r="E18" s="604">
        <f>[4]IEPSGASINCREMENTO!E21+'[4]IEPSGAS ESTIMACIONES'!E21</f>
        <v>96442.941674501766</v>
      </c>
      <c r="F18" s="604">
        <f>[4]IEPSGASINCREMENTO!F21+'[4]IEPSGAS ESTIMACIONES'!F21</f>
        <v>102831.95332735998</v>
      </c>
      <c r="G18" s="604">
        <f>[4]IEPSGASINCREMENTO!G21+'[4]IEPSGAS ESTIMACIONES'!G21</f>
        <v>101583.72092546223</v>
      </c>
      <c r="H18" s="604">
        <f>[4]IEPSGASINCREMENTO!H21+'[4]IEPSGAS ESTIMACIONES'!H21</f>
        <v>104723.10295359092</v>
      </c>
      <c r="I18" s="604">
        <f>[4]IEPSGASINCREMENTO!I21+'[4]IEPSGAS ESTIMACIONES'!I21</f>
        <v>100648.91773019769</v>
      </c>
      <c r="J18" s="604">
        <f>[4]IEPSGASINCREMENTO!J21+'[4]IEPSGAS ESTIMACIONES'!J21</f>
        <v>102106.84377843895</v>
      </c>
      <c r="K18" s="604">
        <f>[4]IEPSGASINCREMENTO!K21+'[4]IEPSGAS ESTIMACIONES'!K21</f>
        <v>99522.227708551873</v>
      </c>
      <c r="L18" s="604">
        <f>[4]IEPSGASINCREMENTO!L21+'[4]IEPSGAS ESTIMACIONES'!L21</f>
        <v>96297.623998612922</v>
      </c>
      <c r="M18" s="604">
        <f>[4]IEPSGASINCREMENTO!M21+'[4]IEPSGAS ESTIMACIONES'!M21</f>
        <v>98314.341869316195</v>
      </c>
      <c r="N18" s="604">
        <f>[4]IEPSGASINCREMENTO!N21+'[4]IEPSGAS ESTIMACIONES'!N21</f>
        <v>91867.137136711375</v>
      </c>
      <c r="O18" s="605">
        <f t="shared" si="0"/>
        <v>1192923.0701457569</v>
      </c>
      <c r="P18" s="606"/>
    </row>
    <row r="19" spans="1:17" ht="12.75" customHeight="1" x14ac:dyDescent="0.2">
      <c r="A19" s="602" t="s">
        <v>287</v>
      </c>
      <c r="B19" s="614"/>
      <c r="C19" s="604">
        <f>[4]IEPSGASINCREMENTO!C22+'[4]IEPSGAS ESTIMACIONES'!C22</f>
        <v>393755.89238314558</v>
      </c>
      <c r="D19" s="604">
        <f>[4]IEPSGASINCREMENTO!D22+'[4]IEPSGAS ESTIMACIONES'!D22</f>
        <v>396696.90504874708</v>
      </c>
      <c r="E19" s="604">
        <f>[4]IEPSGASINCREMENTO!E22+'[4]IEPSGAS ESTIMACIONES'!E22</f>
        <v>380771.96433006652</v>
      </c>
      <c r="F19" s="604">
        <f>[4]IEPSGASINCREMENTO!F22+'[4]IEPSGAS ESTIMACIONES'!F22</f>
        <v>408247.05988672789</v>
      </c>
      <c r="G19" s="604">
        <f>[4]IEPSGASINCREMENTO!G22+'[4]IEPSGAS ESTIMACIONES'!G22</f>
        <v>401685.57597452489</v>
      </c>
      <c r="H19" s="604">
        <f>[4]IEPSGASINCREMENTO!H22+'[4]IEPSGAS ESTIMACIONES'!H22</f>
        <v>415613.25280932849</v>
      </c>
      <c r="I19" s="604">
        <f>[4]IEPSGASINCREMENTO!I22+'[4]IEPSGAS ESTIMACIONES'!I22</f>
        <v>397877.0711397655</v>
      </c>
      <c r="J19" s="604">
        <f>[4]IEPSGASINCREMENTO!J22+'[4]IEPSGAS ESTIMACIONES'!J22</f>
        <v>404110.23893257522</v>
      </c>
      <c r="K19" s="604">
        <f>[4]IEPSGASINCREMENTO!K22+'[4]IEPSGAS ESTIMACIONES'!K22</f>
        <v>394321.70612110081</v>
      </c>
      <c r="L19" s="604">
        <f>[4]IEPSGASINCREMENTO!L22+'[4]IEPSGAS ESTIMACIONES'!L22</f>
        <v>379813.28519331524</v>
      </c>
      <c r="M19" s="604">
        <f>[4]IEPSGASINCREMENTO!M22+'[4]IEPSGAS ESTIMACIONES'!M22</f>
        <v>389006.32925429335</v>
      </c>
      <c r="N19" s="604">
        <f>[4]IEPSGASINCREMENTO!N22+'[4]IEPSGAS ESTIMACIONES'!N22</f>
        <v>367588.84670672065</v>
      </c>
      <c r="O19" s="605">
        <f t="shared" si="0"/>
        <v>4729488.1277803117</v>
      </c>
      <c r="P19" s="606"/>
    </row>
    <row r="20" spans="1:17" ht="12.75" customHeight="1" x14ac:dyDescent="0.2">
      <c r="A20" s="602" t="s">
        <v>162</v>
      </c>
      <c r="B20" s="614"/>
      <c r="C20" s="604">
        <f>[4]IEPSGASINCREMENTO!C23+'[4]IEPSGAS ESTIMACIONES'!C23</f>
        <v>169225.698249257</v>
      </c>
      <c r="D20" s="604">
        <f>[4]IEPSGASINCREMENTO!D23+'[4]IEPSGAS ESTIMACIONES'!D23</f>
        <v>170477.60653589905</v>
      </c>
      <c r="E20" s="604">
        <f>[4]IEPSGASINCREMENTO!E23+'[4]IEPSGAS ESTIMACIONES'!E23</f>
        <v>165292.81853737676</v>
      </c>
      <c r="F20" s="604">
        <f>[4]IEPSGASINCREMENTO!F23+'[4]IEPSGAS ESTIMACIONES'!F23</f>
        <v>176015.18223143648</v>
      </c>
      <c r="G20" s="604">
        <f>[4]IEPSGASINCREMENTO!G23+'[4]IEPSGAS ESTIMACIONES'!G23</f>
        <v>174041.12346011598</v>
      </c>
      <c r="H20" s="604">
        <f>[4]IEPSGASINCREMENTO!H23+'[4]IEPSGAS ESTIMACIONES'!H23</f>
        <v>179266.56539447288</v>
      </c>
      <c r="I20" s="604">
        <f>[4]IEPSGASINCREMENTO!I23+'[4]IEPSGAS ESTIMACIONES'!I23</f>
        <v>172450.88748462795</v>
      </c>
      <c r="J20" s="604">
        <f>[4]IEPSGASINCREMENTO!J23+'[4]IEPSGAS ESTIMACIONES'!J23</f>
        <v>174901.341465773</v>
      </c>
      <c r="K20" s="604">
        <f>[4]IEPSGASINCREMENTO!K23+'[4]IEPSGAS ESTIMACIONES'!K23</f>
        <v>170429.49706647469</v>
      </c>
      <c r="L20" s="604">
        <f>[4]IEPSGASINCREMENTO!L23+'[4]IEPSGAS ESTIMACIONES'!L23</f>
        <v>165082.71363244698</v>
      </c>
      <c r="M20" s="604">
        <f>[4]IEPSGASINCREMENTO!M23+'[4]IEPSGAS ESTIMACIONES'!M23</f>
        <v>168414.60870855919</v>
      </c>
      <c r="N20" s="604">
        <f>[4]IEPSGASINCREMENTO!N23+'[4]IEPSGAS ESTIMACIONES'!N23</f>
        <v>156956.26233550004</v>
      </c>
      <c r="O20" s="605">
        <f t="shared" si="0"/>
        <v>2042554.3051019402</v>
      </c>
      <c r="P20" s="606"/>
    </row>
    <row r="21" spans="1:17" ht="12.75" customHeight="1" x14ac:dyDescent="0.2">
      <c r="A21" s="602" t="s">
        <v>163</v>
      </c>
      <c r="B21" s="616"/>
      <c r="C21" s="604">
        <f>[4]IEPSGASINCREMENTO!C24+'[4]IEPSGAS ESTIMACIONES'!C24</f>
        <v>1601666.9082936733</v>
      </c>
      <c r="D21" s="604">
        <f>[4]IEPSGASINCREMENTO!D24+'[4]IEPSGAS ESTIMACIONES'!D24</f>
        <v>1613711.5359917465</v>
      </c>
      <c r="E21" s="604">
        <f>[4]IEPSGASINCREMENTO!E24+'[4]IEPSGAS ESTIMACIONES'!E24</f>
        <v>1537710.3634869189</v>
      </c>
      <c r="F21" s="604">
        <f>[4]IEPSGASINCREMENTO!F24+'[4]IEPSGAS ESTIMACIONES'!F24</f>
        <v>1656813.5953335939</v>
      </c>
      <c r="G21" s="604">
        <f>[4]IEPSGASINCREMENTO!G24+'[4]IEPSGAS ESTIMACIONES'!G24</f>
        <v>1624401.9778432944</v>
      </c>
      <c r="H21" s="604">
        <f>[4]IEPSGASINCREMENTO!H24+'[4]IEPSGAS ESTIMACIONES'!H24</f>
        <v>1686197.8471734927</v>
      </c>
      <c r="I21" s="604">
        <f>[4]IEPSGASINCREMENTO!I24+'[4]IEPSGAS ESTIMACIONES'!I24</f>
        <v>1608595.3404142766</v>
      </c>
      <c r="J21" s="604">
        <f>[4]IEPSGASINCREMENTO!J24+'[4]IEPSGAS ESTIMACIONES'!J24</f>
        <v>1635494.6596498573</v>
      </c>
      <c r="K21" s="604">
        <f>[4]IEPSGASINCREMENTO!K24+'[4]IEPSGAS ESTIMACIONES'!K24</f>
        <v>1597470.6553665572</v>
      </c>
      <c r="L21" s="604">
        <f>[4]IEPSGASINCREMENTO!L24+'[4]IEPSGAS ESTIMACIONES'!L24</f>
        <v>1532445.0384038694</v>
      </c>
      <c r="M21" s="604">
        <f>[4]IEPSGASINCREMENTO!M24+'[4]IEPSGAS ESTIMACIONES'!M24</f>
        <v>1574026.4359983567</v>
      </c>
      <c r="N21" s="604">
        <f>[4]IEPSGASINCREMENTO!N24+'[4]IEPSGAS ESTIMACIONES'!N24</f>
        <v>1502151.5056712769</v>
      </c>
      <c r="O21" s="605">
        <f t="shared" si="0"/>
        <v>19170685.863626912</v>
      </c>
      <c r="P21" s="606"/>
      <c r="Q21" s="606"/>
    </row>
    <row r="22" spans="1:17" ht="12.75" customHeight="1" x14ac:dyDescent="0.2">
      <c r="A22" s="602" t="s">
        <v>164</v>
      </c>
      <c r="B22" s="616"/>
      <c r="C22" s="604">
        <f>[4]IEPSGASINCREMENTO!C25+'[4]IEPSGAS ESTIMACIONES'!C25</f>
        <v>129733.05102227838</v>
      </c>
      <c r="D22" s="604">
        <f>[4]IEPSGASINCREMENTO!D25+'[4]IEPSGAS ESTIMACIONES'!D25</f>
        <v>130693.40099678151</v>
      </c>
      <c r="E22" s="604">
        <f>[4]IEPSGASINCREMENTO!E25+'[4]IEPSGAS ESTIMACIONES'!E25</f>
        <v>126635.65795584465</v>
      </c>
      <c r="F22" s="604">
        <f>[4]IEPSGASINCREMENTO!F25+'[4]IEPSGAS ESTIMACIONES'!F25</f>
        <v>134909.9846963693</v>
      </c>
      <c r="G22" s="604">
        <f>[4]IEPSGASINCREMENTO!G25+'[4]IEPSGAS ESTIMACIONES'!G25</f>
        <v>133354.33466609681</v>
      </c>
      <c r="H22" s="604">
        <f>[4]IEPSGASINCREMENTO!H25+'[4]IEPSGAS ESTIMACIONES'!H25</f>
        <v>137398.30564011377</v>
      </c>
      <c r="I22" s="604">
        <f>[4]IEPSGASINCREMENTO!I25+'[4]IEPSGAS ESTIMACIONES'!I25</f>
        <v>132132.88905921826</v>
      </c>
      <c r="J22" s="604">
        <f>[4]IEPSGASINCREMENTO!J25+'[4]IEPSGAS ESTIMACIONES'!J25</f>
        <v>134022.89060229436</v>
      </c>
      <c r="K22" s="604">
        <f>[4]IEPSGASINCREMENTO!K25+'[4]IEPSGAS ESTIMACIONES'!K25</f>
        <v>130607.89837134602</v>
      </c>
      <c r="L22" s="604">
        <f>[4]IEPSGASINCREMENTO!L25+'[4]IEPSGAS ESTIMACIONES'!L25</f>
        <v>126464.49316368713</v>
      </c>
      <c r="M22" s="604">
        <f>[4]IEPSGASINCREMENTO!M25+'[4]IEPSGAS ESTIMACIONES'!M25</f>
        <v>129049.75774845442</v>
      </c>
      <c r="N22" s="604">
        <f>[4]IEPSGASINCREMENTO!N25+'[4]IEPSGAS ESTIMACIONES'!N25</f>
        <v>120378.12836981633</v>
      </c>
      <c r="O22" s="605">
        <f t="shared" si="0"/>
        <v>1565380.7922923011</v>
      </c>
      <c r="P22" s="606"/>
      <c r="Q22" s="606"/>
    </row>
    <row r="23" spans="1:17" ht="12.75" customHeight="1" thickBot="1" x14ac:dyDescent="0.25">
      <c r="A23" s="602" t="s">
        <v>165</v>
      </c>
      <c r="B23" s="615"/>
      <c r="C23" s="604">
        <f>[4]IEPSGASINCREMENTO!C26+'[4]IEPSGAS ESTIMACIONES'!C26</f>
        <v>210541.61277504975</v>
      </c>
      <c r="D23" s="604">
        <f>[4]IEPSGASINCREMENTO!D26+'[4]IEPSGAS ESTIMACIONES'!D26</f>
        <v>212140.72881083639</v>
      </c>
      <c r="E23" s="604">
        <f>[4]IEPSGASINCREMENTO!E26+'[4]IEPSGAS ESTIMACIONES'!E26</f>
        <v>199972.07473718171</v>
      </c>
      <c r="F23" s="604">
        <f>[4]IEPSGASINCREMENTO!F26+'[4]IEPSGAS ESTIMACIONES'!F26</f>
        <v>217053.56243615621</v>
      </c>
      <c r="G23" s="604">
        <f>[4]IEPSGASINCREMENTO!G26+'[4]IEPSGAS ESTIMACIONES'!G26</f>
        <v>211682.61048789503</v>
      </c>
      <c r="H23" s="604">
        <f>[4]IEPSGASINCREMENTO!H26+'[4]IEPSGAS ESTIMACIONES'!H26</f>
        <v>220803.81290880707</v>
      </c>
      <c r="I23" s="604">
        <f>[4]IEPSGASINCREMENTO!I26+'[4]IEPSGAS ESTIMACIONES'!I26</f>
        <v>209543.68828706257</v>
      </c>
      <c r="J23" s="604">
        <f>[4]IEPSGASINCREMENTO!J26+'[4]IEPSGAS ESTIMACIONES'!J26</f>
        <v>213379.4568178448</v>
      </c>
      <c r="K23" s="604">
        <f>[4]IEPSGASINCREMENTO!K26+'[4]IEPSGAS ESTIMACIONES'!K26</f>
        <v>208729.00056958129</v>
      </c>
      <c r="L23" s="604">
        <f>[4]IEPSGASINCREMENTO!L26+'[4]IEPSGAS ESTIMACIONES'!L26</f>
        <v>199014.89430526807</v>
      </c>
      <c r="M23" s="604">
        <f>[4]IEPSGASINCREMENTO!M26+'[4]IEPSGAS ESTIMACIONES'!M26</f>
        <v>205293.42746177263</v>
      </c>
      <c r="N23" s="604">
        <f>[4]IEPSGASINCREMENTO!N26+'[4]IEPSGAS ESTIMACIONES'!N26</f>
        <v>198803.75519895245</v>
      </c>
      <c r="O23" s="605">
        <f t="shared" si="0"/>
        <v>2506958.6247964082</v>
      </c>
      <c r="P23" s="606"/>
    </row>
    <row r="24" spans="1:17" ht="13.5" thickBot="1" x14ac:dyDescent="0.25">
      <c r="A24" s="607" t="s">
        <v>288</v>
      </c>
      <c r="B24" s="608">
        <f t="shared" ref="B24:O24" si="1">SUM(B4:B23)</f>
        <v>0</v>
      </c>
      <c r="C24" s="609">
        <f t="shared" si="1"/>
        <v>4539603.375</v>
      </c>
      <c r="D24" s="609">
        <f t="shared" si="1"/>
        <v>4573786.95</v>
      </c>
      <c r="E24" s="609">
        <f t="shared" si="1"/>
        <v>4352117.1749999998</v>
      </c>
      <c r="F24" s="609">
        <f t="shared" si="1"/>
        <v>4693787.0999999996</v>
      </c>
      <c r="G24" s="609">
        <f t="shared" si="1"/>
        <v>4598731.8000000007</v>
      </c>
      <c r="H24" s="609">
        <f t="shared" si="1"/>
        <v>4776747.9749999996</v>
      </c>
      <c r="I24" s="609">
        <f t="shared" si="1"/>
        <v>4553755.4249999998</v>
      </c>
      <c r="J24" s="609">
        <f t="shared" si="1"/>
        <v>4630857.75</v>
      </c>
      <c r="K24" s="609">
        <f t="shared" si="1"/>
        <v>4524086.0249999994</v>
      </c>
      <c r="L24" s="609">
        <f t="shared" si="1"/>
        <v>4336431.9750000015</v>
      </c>
      <c r="M24" s="609">
        <f t="shared" si="1"/>
        <v>4456621.3499999996</v>
      </c>
      <c r="N24" s="609">
        <f t="shared" si="1"/>
        <v>4261408.2</v>
      </c>
      <c r="O24" s="609">
        <f t="shared" si="1"/>
        <v>54297935.100000001</v>
      </c>
    </row>
    <row r="25" spans="1:17" x14ac:dyDescent="0.2">
      <c r="A25" s="610"/>
      <c r="B25" s="610"/>
      <c r="C25" s="610"/>
      <c r="D25" s="610"/>
      <c r="E25" s="610"/>
      <c r="F25" s="610"/>
      <c r="G25" s="610"/>
      <c r="H25" s="610"/>
      <c r="I25" s="610"/>
      <c r="J25" s="610"/>
      <c r="K25" s="610"/>
      <c r="L25" s="610"/>
      <c r="M25" s="610"/>
      <c r="N25" s="610"/>
      <c r="O25" s="617"/>
    </row>
    <row r="26" spans="1:17" x14ac:dyDescent="0.2">
      <c r="A26" s="611" t="s">
        <v>289</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rgb="FF7030A0"/>
  </sheetPr>
  <dimension ref="A1:P26"/>
  <sheetViews>
    <sheetView workbookViewId="0">
      <selection activeCell="D8" sqref="D8"/>
    </sheetView>
  </sheetViews>
  <sheetFormatPr baseColWidth="10" defaultRowHeight="12.75" x14ac:dyDescent="0.2"/>
  <cols>
    <col min="1" max="1" width="15.42578125" style="597" customWidth="1"/>
    <col min="2" max="4" width="7.85546875" style="597" customWidth="1"/>
    <col min="5" max="5" width="8.7109375" style="597" bestFit="1" customWidth="1"/>
    <col min="6" max="9" width="7.85546875" style="597" customWidth="1"/>
    <col min="10" max="10" width="9.42578125" style="597" customWidth="1"/>
    <col min="11" max="11" width="7.85546875" style="597" customWidth="1"/>
    <col min="12" max="12" width="9.140625" style="597" customWidth="1"/>
    <col min="13" max="13" width="8.5703125" style="597" customWidth="1"/>
    <col min="14" max="14" width="8.7109375" style="597" bestFit="1" customWidth="1"/>
    <col min="15" max="16384" width="11.42578125" style="597"/>
  </cols>
  <sheetData>
    <row r="1" spans="1:16" x14ac:dyDescent="0.2">
      <c r="A1" s="1255" t="s">
        <v>383</v>
      </c>
      <c r="B1" s="1255"/>
      <c r="C1" s="1255"/>
      <c r="D1" s="1255"/>
      <c r="E1" s="1255"/>
      <c r="F1" s="1255"/>
      <c r="G1" s="1255"/>
      <c r="H1" s="1255"/>
      <c r="I1" s="1255"/>
      <c r="J1" s="1255"/>
      <c r="K1" s="1255"/>
      <c r="L1" s="1255"/>
      <c r="M1" s="1255"/>
      <c r="N1" s="1255"/>
    </row>
    <row r="2" spans="1:16" ht="13.5" thickBot="1" x14ac:dyDescent="0.25"/>
    <row r="3" spans="1:16" ht="23.25" thickBot="1" x14ac:dyDescent="0.25">
      <c r="A3" s="598" t="s">
        <v>341</v>
      </c>
      <c r="B3" s="598" t="s">
        <v>1</v>
      </c>
      <c r="C3" s="600" t="s">
        <v>2</v>
      </c>
      <c r="D3" s="598" t="s">
        <v>3</v>
      </c>
      <c r="E3" s="600" t="s">
        <v>4</v>
      </c>
      <c r="F3" s="598" t="s">
        <v>5</v>
      </c>
      <c r="G3" s="598" t="s">
        <v>6</v>
      </c>
      <c r="H3" s="598" t="s">
        <v>7</v>
      </c>
      <c r="I3" s="600" t="s">
        <v>8</v>
      </c>
      <c r="J3" s="598" t="s">
        <v>9</v>
      </c>
      <c r="K3" s="600" t="s">
        <v>10</v>
      </c>
      <c r="L3" s="598" t="s">
        <v>11</v>
      </c>
      <c r="M3" s="598" t="s">
        <v>12</v>
      </c>
      <c r="N3" s="601" t="s">
        <v>168</v>
      </c>
    </row>
    <row r="4" spans="1:16" ht="12.75" customHeight="1" x14ac:dyDescent="0.2">
      <c r="A4" s="602" t="s">
        <v>282</v>
      </c>
      <c r="B4" s="604">
        <f>'[4]FOFIR  INCREMENTO'!C7+'[4]FFOR ESTIMACIONES'!C7</f>
        <v>166059.80182410308</v>
      </c>
      <c r="C4" s="604">
        <f>'[4]FOFIR  INCREMENTO'!D7+'[4]FFOR ESTIMACIONES'!D7</f>
        <v>121496.18625403017</v>
      </c>
      <c r="D4" s="604">
        <f>'[4]FOFIR  INCREMENTO'!E7+'[4]FFOR ESTIMACIONES'!E7</f>
        <v>121496.18625403017</v>
      </c>
      <c r="E4" s="604">
        <f>'[4]FOFIR  INCREMENTO'!F7+'[4]FFOR ESTIMACIONES'!F7</f>
        <v>199748.46075717272</v>
      </c>
      <c r="F4" s="604">
        <f>'[4]FOFIR  INCREMENTO'!G7+'[4]FFOR ESTIMACIONES'!G7</f>
        <v>121496.18625403017</v>
      </c>
      <c r="G4" s="604">
        <f>'[4]FOFIR  INCREMENTO'!H7+'[4]FFOR ESTIMACIONES'!H7</f>
        <v>121496.18625403017</v>
      </c>
      <c r="H4" s="604">
        <f>'[4]FOFIR  INCREMENTO'!I7+'[4]FFOR ESTIMACIONES'!I7</f>
        <v>167908.37469649853</v>
      </c>
      <c r="I4" s="604">
        <f>'[4]FOFIR  INCREMENTO'!J7+'[4]FFOR ESTIMACIONES'!J7</f>
        <v>121496.18625403018</v>
      </c>
      <c r="J4" s="604">
        <f>'[4]FOFIR  INCREMENTO'!K7+'[4]FFOR ESTIMACIONES'!K7</f>
        <v>121496.18625403018</v>
      </c>
      <c r="K4" s="604">
        <f>'[4]FOFIR  INCREMENTO'!L7+'[4]FFOR ESTIMACIONES'!L7</f>
        <v>173140.32783569855</v>
      </c>
      <c r="L4" s="604">
        <f>'[4]FOFIR  INCREMENTO'!M7+'[4]FFOR ESTIMACIONES'!M7</f>
        <v>121496.18625403021</v>
      </c>
      <c r="M4" s="604">
        <f>'[4]FOFIR  INCREMENTO'!N7+'[4]FFOR ESTIMACIONES'!N7</f>
        <v>121496.18625403021</v>
      </c>
      <c r="N4" s="605">
        <f t="shared" ref="N4:N24" si="0">SUM(B4:M4)</f>
        <v>1678826.4551457143</v>
      </c>
      <c r="P4" s="606"/>
    </row>
    <row r="5" spans="1:16" ht="12.75" customHeight="1" x14ac:dyDescent="0.2">
      <c r="A5" s="602" t="s">
        <v>147</v>
      </c>
      <c r="B5" s="604">
        <f>'[4]FOFIR  INCREMENTO'!C8+'[4]FFOR ESTIMACIONES'!C8</f>
        <v>65896.245453383191</v>
      </c>
      <c r="C5" s="604">
        <f>'[4]FOFIR  INCREMENTO'!D8+'[4]FFOR ESTIMACIONES'!D8</f>
        <v>49383.291033517453</v>
      </c>
      <c r="D5" s="604">
        <f>'[4]FOFIR  INCREMENTO'!E8+'[4]FFOR ESTIMACIONES'!E8</f>
        <v>49383.291033517453</v>
      </c>
      <c r="E5" s="604">
        <f>'[4]FOFIR  INCREMENTO'!F8+'[4]FFOR ESTIMACIONES'!F8</f>
        <v>78622.072446546939</v>
      </c>
      <c r="F5" s="604">
        <f>'[4]FOFIR  INCREMENTO'!G8+'[4]FFOR ESTIMACIONES'!G8</f>
        <v>49383.291033517453</v>
      </c>
      <c r="G5" s="604">
        <f>'[4]FOFIR  INCREMENTO'!H8+'[4]FFOR ESTIMACIONES'!H8</f>
        <v>49383.291033517453</v>
      </c>
      <c r="H5" s="604">
        <f>'[4]FOFIR  INCREMENTO'!I8+'[4]FFOR ESTIMACIONES'!I8</f>
        <v>66095.724649424024</v>
      </c>
      <c r="I5" s="604">
        <f>'[4]FOFIR  INCREMENTO'!J8+'[4]FFOR ESTIMACIONES'!J8</f>
        <v>49383.29103351746</v>
      </c>
      <c r="J5" s="604">
        <f>'[4]FOFIR  INCREMENTO'!K8+'[4]FFOR ESTIMACIONES'!K8</f>
        <v>49383.29103351746</v>
      </c>
      <c r="K5" s="604">
        <f>'[4]FOFIR  INCREMENTO'!L8+'[4]FFOR ESTIMACIONES'!L8</f>
        <v>68436.559581981463</v>
      </c>
      <c r="L5" s="604">
        <f>'[4]FOFIR  INCREMENTO'!M8+'[4]FFOR ESTIMACIONES'!M8</f>
        <v>49383.291033517475</v>
      </c>
      <c r="M5" s="604">
        <f>'[4]FOFIR  INCREMENTO'!N8+'[4]FFOR ESTIMACIONES'!N8</f>
        <v>49383.291033517475</v>
      </c>
      <c r="N5" s="605">
        <f t="shared" si="0"/>
        <v>674116.93039947527</v>
      </c>
      <c r="P5" s="606"/>
    </row>
    <row r="6" spans="1:16" ht="12.75" customHeight="1" x14ac:dyDescent="0.2">
      <c r="A6" s="602" t="s">
        <v>148</v>
      </c>
      <c r="B6" s="604">
        <f>'[4]FOFIR  INCREMENTO'!C9+'[4]FFOR ESTIMACIONES'!C9</f>
        <v>47172.166888439977</v>
      </c>
      <c r="C6" s="604">
        <f>'[4]FOFIR  INCREMENTO'!D9+'[4]FFOR ESTIMACIONES'!D9</f>
        <v>36009.252493238819</v>
      </c>
      <c r="D6" s="604">
        <f>'[4]FOFIR  INCREMENTO'!E9+'[4]FFOR ESTIMACIONES'!E9</f>
        <v>36009.252493238819</v>
      </c>
      <c r="E6" s="604">
        <f>'[4]FOFIR  INCREMENTO'!F9+'[4]FFOR ESTIMACIONES'!F9</f>
        <v>55920.919567698598</v>
      </c>
      <c r="F6" s="604">
        <f>'[4]FOFIR  INCREMENTO'!G9+'[4]FFOR ESTIMACIONES'!G9</f>
        <v>36009.252493238819</v>
      </c>
      <c r="G6" s="604">
        <f>'[4]FOFIR  INCREMENTO'!H9+'[4]FFOR ESTIMACIONES'!H9</f>
        <v>36009.252493238819</v>
      </c>
      <c r="H6" s="604">
        <f>'[4]FOFIR  INCREMENTO'!I9+'[4]FFOR ESTIMACIONES'!I9</f>
        <v>47014.845704379681</v>
      </c>
      <c r="I6" s="604">
        <f>'[4]FOFIR  INCREMENTO'!J9+'[4]FFOR ESTIMACIONES'!J9</f>
        <v>36009.252493238826</v>
      </c>
      <c r="J6" s="604">
        <f>'[4]FOFIR  INCREMENTO'!K9+'[4]FFOR ESTIMACIONES'!K9</f>
        <v>36009.252493238826</v>
      </c>
      <c r="K6" s="604">
        <f>'[4]FOFIR  INCREMENTO'!L9+'[4]FFOR ESTIMACIONES'!L9</f>
        <v>48839.278476363965</v>
      </c>
      <c r="L6" s="604">
        <f>'[4]FOFIR  INCREMENTO'!M9+'[4]FFOR ESTIMACIONES'!M9</f>
        <v>36009.252493238833</v>
      </c>
      <c r="M6" s="604">
        <f>'[4]FOFIR  INCREMENTO'!N9+'[4]FFOR ESTIMACIONES'!N9</f>
        <v>36009.252493238833</v>
      </c>
      <c r="N6" s="605">
        <f t="shared" si="0"/>
        <v>487021.23058279284</v>
      </c>
      <c r="P6" s="606"/>
    </row>
    <row r="7" spans="1:16" ht="12.75" customHeight="1" x14ac:dyDescent="0.2">
      <c r="A7" s="602" t="s">
        <v>283</v>
      </c>
      <c r="B7" s="604">
        <f>'[4]FOFIR  INCREMENTO'!C10+'[4]FFOR ESTIMACIONES'!C10</f>
        <v>1617728.7073038896</v>
      </c>
      <c r="C7" s="604">
        <f>'[4]FOFIR  INCREMENTO'!D10+'[4]FFOR ESTIMACIONES'!D10</f>
        <v>430998.70281890297</v>
      </c>
      <c r="D7" s="604">
        <f>'[4]FOFIR  INCREMENTO'!E10+'[4]FFOR ESTIMACIONES'!E10</f>
        <v>430998.70281890297</v>
      </c>
      <c r="E7" s="604">
        <f>'[4]FOFIR  INCREMENTO'!F10+'[4]FFOR ESTIMACIONES'!F10</f>
        <v>2358947.3555349289</v>
      </c>
      <c r="F7" s="604">
        <f>'[4]FOFIR  INCREMENTO'!G10+'[4]FFOR ESTIMACIONES'!G10</f>
        <v>430998.70281890297</v>
      </c>
      <c r="G7" s="604">
        <f>'[4]FOFIR  INCREMENTO'!H10+'[4]FFOR ESTIMACIONES'!H10</f>
        <v>430998.70281890297</v>
      </c>
      <c r="H7" s="604">
        <f>'[4]FOFIR  INCREMENTO'!I10+'[4]FFOR ESTIMACIONES'!I10</f>
        <v>1979019.7665862315</v>
      </c>
      <c r="I7" s="604">
        <f>'[4]FOFIR  INCREMENTO'!J10+'[4]FFOR ESTIMACIONES'!J10</f>
        <v>430998.70281890291</v>
      </c>
      <c r="J7" s="604">
        <f>'[4]FOFIR  INCREMENTO'!K10+'[4]FFOR ESTIMACIONES'!K10</f>
        <v>430998.70281890291</v>
      </c>
      <c r="K7" s="604">
        <f>'[4]FOFIR  INCREMENTO'!L10+'[4]FFOR ESTIMACIONES'!L10</f>
        <v>1859863.6965230324</v>
      </c>
      <c r="L7" s="604">
        <f>'[4]FOFIR  INCREMENTO'!M10+'[4]FFOR ESTIMACIONES'!M10</f>
        <v>430998.70281890279</v>
      </c>
      <c r="M7" s="604">
        <f>'[4]FOFIR  INCREMENTO'!N10+'[4]FFOR ESTIMACIONES'!N10</f>
        <v>430998.70281890279</v>
      </c>
      <c r="N7" s="605">
        <f t="shared" si="0"/>
        <v>11263549.148499306</v>
      </c>
      <c r="P7" s="606"/>
    </row>
    <row r="8" spans="1:16" ht="12.75" customHeight="1" x14ac:dyDescent="0.2">
      <c r="A8" s="602" t="s">
        <v>150</v>
      </c>
      <c r="B8" s="604">
        <f>'[4]FOFIR  INCREMENTO'!C11+'[4]FFOR ESTIMACIONES'!C11</f>
        <v>335898.08821091719</v>
      </c>
      <c r="C8" s="604">
        <f>'[4]FOFIR  INCREMENTO'!D11+'[4]FFOR ESTIMACIONES'!D11</f>
        <v>224560.41676661855</v>
      </c>
      <c r="D8" s="604">
        <f>'[4]FOFIR  INCREMENTO'!E11+'[4]FFOR ESTIMACIONES'!E11</f>
        <v>224560.41676661855</v>
      </c>
      <c r="E8" s="604">
        <f>'[4]FOFIR  INCREMENTO'!F11+'[4]FFOR ESTIMACIONES'!F11</f>
        <v>415674.64870536816</v>
      </c>
      <c r="F8" s="604">
        <f>'[4]FOFIR  INCREMENTO'!G11+'[4]FFOR ESTIMACIONES'!G11</f>
        <v>224560.41676661855</v>
      </c>
      <c r="G8" s="604">
        <f>'[4]FOFIR  INCREMENTO'!H11+'[4]FFOR ESTIMACIONES'!H11</f>
        <v>224560.41676661855</v>
      </c>
      <c r="H8" s="604">
        <f>'[4]FOFIR  INCREMENTO'!I11+'[4]FFOR ESTIMACIONES'!I11</f>
        <v>349305.63097027713</v>
      </c>
      <c r="I8" s="604">
        <f>'[4]FOFIR  INCREMENTO'!J11+'[4]FFOR ESTIMACIONES'!J11</f>
        <v>224560.41676661861</v>
      </c>
      <c r="J8" s="604">
        <f>'[4]FOFIR  INCREMENTO'!K11+'[4]FFOR ESTIMACIONES'!K11</f>
        <v>224560.41676661861</v>
      </c>
      <c r="K8" s="604">
        <f>'[4]FOFIR  INCREMENTO'!L11+'[4]FFOR ESTIMACIONES'!L11</f>
        <v>355097.12288766826</v>
      </c>
      <c r="L8" s="604">
        <f>'[4]FOFIR  INCREMENTO'!M11+'[4]FFOR ESTIMACIONES'!M11</f>
        <v>224560.41676661867</v>
      </c>
      <c r="M8" s="604">
        <f>'[4]FOFIR  INCREMENTO'!N11+'[4]FFOR ESTIMACIONES'!N11</f>
        <v>224560.41676661867</v>
      </c>
      <c r="N8" s="605">
        <f t="shared" si="0"/>
        <v>3252458.8249071799</v>
      </c>
      <c r="P8" s="606"/>
    </row>
    <row r="9" spans="1:16" ht="12.75" customHeight="1" x14ac:dyDescent="0.2">
      <c r="A9" s="602" t="s">
        <v>284</v>
      </c>
      <c r="B9" s="604">
        <f>'[4]FOFIR  INCREMENTO'!C12+'[4]FFOR ESTIMACIONES'!C12</f>
        <v>136223.33080593604</v>
      </c>
      <c r="C9" s="604">
        <f>'[4]FOFIR  INCREMENTO'!D12+'[4]FFOR ESTIMACIONES'!D12</f>
        <v>106022.47054212105</v>
      </c>
      <c r="D9" s="604">
        <f>'[4]FOFIR  INCREMENTO'!E12+'[4]FFOR ESTIMACIONES'!E12</f>
        <v>106022.47054212105</v>
      </c>
      <c r="E9" s="604">
        <f>'[4]FOFIR  INCREMENTO'!F12+'[4]FFOR ESTIMACIONES'!F12</f>
        <v>160370.91559869357</v>
      </c>
      <c r="F9" s="604">
        <f>'[4]FOFIR  INCREMENTO'!G12+'[4]FFOR ESTIMACIONES'!G12</f>
        <v>106022.47054212105</v>
      </c>
      <c r="G9" s="604">
        <f>'[4]FOFIR  INCREMENTO'!H12+'[4]FFOR ESTIMACIONES'!H12</f>
        <v>106022.47054212105</v>
      </c>
      <c r="H9" s="604">
        <f>'[4]FOFIR  INCREMENTO'!I12+'[4]FFOR ESTIMACIONES'!I12</f>
        <v>134840.6604641614</v>
      </c>
      <c r="I9" s="604">
        <f>'[4]FOFIR  INCREMENTO'!J12+'[4]FFOR ESTIMACIONES'!J12</f>
        <v>106022.47054212107</v>
      </c>
      <c r="J9" s="604">
        <f>'[4]FOFIR  INCREMENTO'!K12+'[4]FFOR ESTIMACIONES'!K12</f>
        <v>106022.47054212107</v>
      </c>
      <c r="K9" s="604">
        <f>'[4]FOFIR  INCREMENTO'!L12+'[4]FFOR ESTIMACIONES'!L12</f>
        <v>140569.31906997022</v>
      </c>
      <c r="L9" s="604">
        <f>'[4]FOFIR  INCREMENTO'!M12+'[4]FFOR ESTIMACIONES'!M12</f>
        <v>106022.4705421211</v>
      </c>
      <c r="M9" s="604">
        <f>'[4]FOFIR  INCREMENTO'!N12+'[4]FFOR ESTIMACIONES'!N12</f>
        <v>106022.4705421211</v>
      </c>
      <c r="N9" s="605">
        <f t="shared" si="0"/>
        <v>1420183.9902757299</v>
      </c>
      <c r="P9" s="606"/>
    </row>
    <row r="10" spans="1:16" ht="12.75" customHeight="1" x14ac:dyDescent="0.2">
      <c r="A10" s="602" t="s">
        <v>152</v>
      </c>
      <c r="B10" s="604">
        <f>'[4]FOFIR  INCREMENTO'!C13+'[4]FFOR ESTIMACIONES'!C13</f>
        <v>46943.919635121681</v>
      </c>
      <c r="C10" s="604">
        <f>'[4]FOFIR  INCREMENTO'!D13+'[4]FFOR ESTIMACIONES'!D13</f>
        <v>36546.418155936706</v>
      </c>
      <c r="D10" s="604">
        <f>'[4]FOFIR  INCREMENTO'!E13+'[4]FFOR ESTIMACIONES'!E13</f>
        <v>36546.418155936706</v>
      </c>
      <c r="E10" s="604">
        <f>'[4]FOFIR  INCREMENTO'!F13+'[4]FFOR ESTIMACIONES'!F13</f>
        <v>55259.921339763569</v>
      </c>
      <c r="F10" s="604">
        <f>'[4]FOFIR  INCREMENTO'!G13+'[4]FFOR ESTIMACIONES'!G13</f>
        <v>36546.418155936706</v>
      </c>
      <c r="G10" s="604">
        <f>'[4]FOFIR  INCREMENTO'!H13+'[4]FFOR ESTIMACIONES'!H13</f>
        <v>36546.418155936706</v>
      </c>
      <c r="H10" s="604">
        <f>'[4]FOFIR  INCREMENTO'!I13+'[4]FFOR ESTIMACIONES'!I13</f>
        <v>46462.868832540647</v>
      </c>
      <c r="I10" s="604">
        <f>'[4]FOFIR  INCREMENTO'!J13+'[4]FFOR ESTIMACIONES'!J13</f>
        <v>36546.418155936706</v>
      </c>
      <c r="J10" s="604">
        <f>'[4]FOFIR  INCREMENTO'!K13+'[4]FFOR ESTIMACIONES'!K13</f>
        <v>36546.418155936706</v>
      </c>
      <c r="K10" s="604">
        <f>'[4]FOFIR  INCREMENTO'!L13+'[4]FFOR ESTIMACIONES'!L13</f>
        <v>48439.285993104728</v>
      </c>
      <c r="L10" s="604">
        <f>'[4]FOFIR  INCREMENTO'!M13+'[4]FFOR ESTIMACIONES'!M13</f>
        <v>36546.418155936721</v>
      </c>
      <c r="M10" s="604">
        <f>'[4]FOFIR  INCREMENTO'!N13+'[4]FFOR ESTIMACIONES'!N13</f>
        <v>36546.418155936721</v>
      </c>
      <c r="N10" s="605">
        <f t="shared" si="0"/>
        <v>489477.34104802425</v>
      </c>
      <c r="P10" s="606"/>
    </row>
    <row r="11" spans="1:16" ht="12.75" customHeight="1" x14ac:dyDescent="0.2">
      <c r="A11" s="602" t="s">
        <v>153</v>
      </c>
      <c r="B11" s="604">
        <f>'[4]FOFIR  INCREMENTO'!C14+'[4]FFOR ESTIMACIONES'!C14</f>
        <v>124230.24244290034</v>
      </c>
      <c r="C11" s="604">
        <f>'[4]FOFIR  INCREMENTO'!D14+'[4]FFOR ESTIMACIONES'!D14</f>
        <v>90312.547392919572</v>
      </c>
      <c r="D11" s="604">
        <f>'[4]FOFIR  INCREMENTO'!E14+'[4]FFOR ESTIMACIONES'!E14</f>
        <v>90312.547392919572</v>
      </c>
      <c r="E11" s="604">
        <f>'[4]FOFIR  INCREMENTO'!F14+'[4]FFOR ESTIMACIONES'!F14</f>
        <v>149750.89511270751</v>
      </c>
      <c r="F11" s="604">
        <f>'[4]FOFIR  INCREMENTO'!G14+'[4]FFOR ESTIMACIONES'!G14</f>
        <v>90312.547392919572</v>
      </c>
      <c r="G11" s="604">
        <f>'[4]FOFIR  INCREMENTO'!H14+'[4]FFOR ESTIMACIONES'!H14</f>
        <v>90312.547392919572</v>
      </c>
      <c r="H11" s="604">
        <f>'[4]FOFIR  INCREMENTO'!I14+'[4]FFOR ESTIMACIONES'!I14</f>
        <v>125877.45677451006</v>
      </c>
      <c r="I11" s="604">
        <f>'[4]FOFIR  INCREMENTO'!J14+'[4]FFOR ESTIMACIONES'!J14</f>
        <v>90312.547392919587</v>
      </c>
      <c r="J11" s="604">
        <f>'[4]FOFIR  INCREMENTO'!K14+'[4]FFOR ESTIMACIONES'!K14</f>
        <v>90312.547392919587</v>
      </c>
      <c r="K11" s="604">
        <f>'[4]FOFIR  INCREMENTO'!L14+'[4]FFOR ESTIMACIONES'!L14</f>
        <v>129660.53337129968</v>
      </c>
      <c r="L11" s="604">
        <f>'[4]FOFIR  INCREMENTO'!M14+'[4]FFOR ESTIMACIONES'!M14</f>
        <v>90312.547392919616</v>
      </c>
      <c r="M11" s="604">
        <f>'[4]FOFIR  INCREMENTO'!N14+'[4]FFOR ESTIMACIONES'!N14</f>
        <v>90312.547392919616</v>
      </c>
      <c r="N11" s="605">
        <f t="shared" si="0"/>
        <v>1252019.5068447744</v>
      </c>
      <c r="P11" s="606"/>
    </row>
    <row r="12" spans="1:16" ht="12.75" customHeight="1" x14ac:dyDescent="0.2">
      <c r="A12" s="602" t="s">
        <v>154</v>
      </c>
      <c r="B12" s="604">
        <f>'[4]FOFIR  INCREMENTO'!C15+'[4]FFOR ESTIMACIONES'!C15</f>
        <v>73217.41689484354</v>
      </c>
      <c r="C12" s="604">
        <f>'[4]FOFIR  INCREMENTO'!D15+'[4]FFOR ESTIMACIONES'!D15</f>
        <v>55839.774119728063</v>
      </c>
      <c r="D12" s="604">
        <f>'[4]FOFIR  INCREMENTO'!E15+'[4]FFOR ESTIMACIONES'!E15</f>
        <v>55839.774119728063</v>
      </c>
      <c r="E12" s="604">
        <f>'[4]FOFIR  INCREMENTO'!F15+'[4]FFOR ESTIMACIONES'!F15</f>
        <v>86824.803164653436</v>
      </c>
      <c r="F12" s="604">
        <f>'[4]FOFIR  INCREMENTO'!G15+'[4]FFOR ESTIMACIONES'!G15</f>
        <v>55839.774119728063</v>
      </c>
      <c r="G12" s="604">
        <f>'[4]FOFIR  INCREMENTO'!H15+'[4]FFOR ESTIMACIONES'!H15</f>
        <v>55839.774119728063</v>
      </c>
      <c r="H12" s="604">
        <f>'[4]FOFIR  INCREMENTO'!I15+'[4]FFOR ESTIMACIONES'!I15</f>
        <v>72996.646462266639</v>
      </c>
      <c r="I12" s="604">
        <f>'[4]FOFIR  INCREMENTO'!J15+'[4]FFOR ESTIMACIONES'!J15</f>
        <v>55839.77411972807</v>
      </c>
      <c r="J12" s="604">
        <f>'[4]FOFIR  INCREMENTO'!K15+'[4]FFOR ESTIMACIONES'!K15</f>
        <v>55839.77411972807</v>
      </c>
      <c r="K12" s="604">
        <f>'[4]FOFIR  INCREMENTO'!L15+'[4]FFOR ESTIMACIONES'!L15</f>
        <v>75816.803486396821</v>
      </c>
      <c r="L12" s="604">
        <f>'[4]FOFIR  INCREMENTO'!M15+'[4]FFOR ESTIMACIONES'!M15</f>
        <v>55839.774119728085</v>
      </c>
      <c r="M12" s="604">
        <f>'[4]FOFIR  INCREMENTO'!N15+'[4]FFOR ESTIMACIONES'!N15</f>
        <v>55839.774119728085</v>
      </c>
      <c r="N12" s="605">
        <f t="shared" si="0"/>
        <v>755573.86296598508</v>
      </c>
      <c r="P12" s="606"/>
    </row>
    <row r="13" spans="1:16" ht="12.75" customHeight="1" x14ac:dyDescent="0.2">
      <c r="A13" s="602" t="s">
        <v>155</v>
      </c>
      <c r="B13" s="604">
        <f>'[4]FOFIR  INCREMENTO'!C16+'[4]FFOR ESTIMACIONES'!C16</f>
        <v>54629.467025347098</v>
      </c>
      <c r="C13" s="604">
        <f>'[4]FOFIR  INCREMENTO'!D16+'[4]FFOR ESTIMACIONES'!D16</f>
        <v>41918.164215620891</v>
      </c>
      <c r="D13" s="604">
        <f>'[4]FOFIR  INCREMENTO'!E16+'[4]FFOR ESTIMACIONES'!E16</f>
        <v>41918.164215620891</v>
      </c>
      <c r="E13" s="604">
        <f>'[4]FOFIR  INCREMENTO'!F16+'[4]FFOR ESTIMACIONES'!F16</f>
        <v>64642.564346199848</v>
      </c>
      <c r="F13" s="604">
        <f>'[4]FOFIR  INCREMENTO'!G16+'[4]FFOR ESTIMACIONES'!G16</f>
        <v>41918.164215620891</v>
      </c>
      <c r="G13" s="604">
        <f>'[4]FOFIR  INCREMENTO'!H16+'[4]FFOR ESTIMACIONES'!H16</f>
        <v>41918.164215620891</v>
      </c>
      <c r="H13" s="604">
        <f>'[4]FOFIR  INCREMENTO'!I16+'[4]FFOR ESTIMACIONES'!I16</f>
        <v>54348.604601859013</v>
      </c>
      <c r="I13" s="604">
        <f>'[4]FOFIR  INCREMENTO'!J16+'[4]FFOR ESTIMACIONES'!J16</f>
        <v>41918.164215620898</v>
      </c>
      <c r="J13" s="604">
        <f>'[4]FOFIR  INCREMENTO'!K16+'[4]FFOR ESTIMACIONES'!K16</f>
        <v>41918.164215620898</v>
      </c>
      <c r="K13" s="604">
        <f>'[4]FOFIR  INCREMENTO'!L16+'[4]FFOR ESTIMACIONES'!L16</f>
        <v>56510.355805752377</v>
      </c>
      <c r="L13" s="604">
        <f>'[4]FOFIR  INCREMENTO'!M16+'[4]FFOR ESTIMACIONES'!M16</f>
        <v>41918.164215620913</v>
      </c>
      <c r="M13" s="604">
        <f>'[4]FOFIR  INCREMENTO'!N16+'[4]FFOR ESTIMACIONES'!N16</f>
        <v>41918.164215620913</v>
      </c>
      <c r="N13" s="605">
        <f t="shared" si="0"/>
        <v>565476.30550412554</v>
      </c>
      <c r="P13" s="606"/>
    </row>
    <row r="14" spans="1:16" ht="12.75" customHeight="1" x14ac:dyDescent="0.2">
      <c r="A14" s="602" t="s">
        <v>156</v>
      </c>
      <c r="B14" s="604">
        <f>'[4]FOFIR  INCREMENTO'!C17+'[4]FFOR ESTIMACIONES'!C17</f>
        <v>145506.38386108386</v>
      </c>
      <c r="C14" s="604">
        <f>'[4]FOFIR  INCREMENTO'!D17+'[4]FFOR ESTIMACIONES'!D17</f>
        <v>111856.14487044928</v>
      </c>
      <c r="D14" s="604">
        <f>'[4]FOFIR  INCREMENTO'!E17+'[4]FFOR ESTIMACIONES'!E17</f>
        <v>111856.14487044928</v>
      </c>
      <c r="E14" s="604">
        <f>'[4]FOFIR  INCREMENTO'!F17+'[4]FFOR ESTIMACIONES'!F17</f>
        <v>172063.08587293784</v>
      </c>
      <c r="F14" s="604">
        <f>'[4]FOFIR  INCREMENTO'!G17+'[4]FFOR ESTIMACIONES'!G17</f>
        <v>111856.14487044928</v>
      </c>
      <c r="G14" s="604">
        <f>'[4]FOFIR  INCREMENTO'!H17+'[4]FFOR ESTIMACIONES'!H17</f>
        <v>111856.14487044928</v>
      </c>
      <c r="H14" s="604">
        <f>'[4]FOFIR  INCREMENTO'!I17+'[4]FFOR ESTIMACIONES'!I17</f>
        <v>144664.11103260936</v>
      </c>
      <c r="I14" s="604">
        <f>'[4]FOFIR  INCREMENTO'!J17+'[4]FFOR ESTIMACIONES'!J17</f>
        <v>111856.14487044929</v>
      </c>
      <c r="J14" s="604">
        <f>'[4]FOFIR  INCREMENTO'!K17+'[4]FFOR ESTIMACIONES'!K17</f>
        <v>111856.14487044929</v>
      </c>
      <c r="K14" s="604">
        <f>'[4]FOFIR  INCREMENTO'!L17+'[4]FFOR ESTIMACIONES'!L17</f>
        <v>150468.64672921068</v>
      </c>
      <c r="L14" s="604">
        <f>'[4]FOFIR  INCREMENTO'!M17+'[4]FFOR ESTIMACIONES'!M17</f>
        <v>111856.14487044932</v>
      </c>
      <c r="M14" s="604">
        <f>'[4]FOFIR  INCREMENTO'!N17+'[4]FFOR ESTIMACIONES'!N17</f>
        <v>111856.14487044932</v>
      </c>
      <c r="N14" s="605">
        <f t="shared" si="0"/>
        <v>1507551.386459436</v>
      </c>
      <c r="P14" s="606"/>
    </row>
    <row r="15" spans="1:16" ht="12.75" customHeight="1" x14ac:dyDescent="0.2">
      <c r="A15" s="602" t="s">
        <v>157</v>
      </c>
      <c r="B15" s="604">
        <f>'[4]FOFIR  INCREMENTO'!C18+'[4]FFOR ESTIMACIONES'!C18</f>
        <v>95281.562275807373</v>
      </c>
      <c r="C15" s="604">
        <f>'[4]FOFIR  INCREMENTO'!D18+'[4]FFOR ESTIMACIONES'!D18</f>
        <v>72968.796871253828</v>
      </c>
      <c r="D15" s="604">
        <f>'[4]FOFIR  INCREMENTO'!E18+'[4]FFOR ESTIMACIONES'!E18</f>
        <v>72968.796871253828</v>
      </c>
      <c r="E15" s="604">
        <f>'[4]FOFIR  INCREMENTO'!F18+'[4]FFOR ESTIMACIONES'!F18</f>
        <v>112824.00287479749</v>
      </c>
      <c r="F15" s="604">
        <f>'[4]FOFIR  INCREMENTO'!G18+'[4]FFOR ESTIMACIONES'!G18</f>
        <v>72968.796871253828</v>
      </c>
      <c r="G15" s="604">
        <f>'[4]FOFIR  INCREMENTO'!H18+'[4]FFOR ESTIMACIONES'!H18</f>
        <v>72968.796871253828</v>
      </c>
      <c r="H15" s="604">
        <f>'[4]FOFIR  INCREMENTO'!I18+'[4]FFOR ESTIMACIONES'!I18</f>
        <v>94856.671654094942</v>
      </c>
      <c r="I15" s="604">
        <f>'[4]FOFIR  INCREMENTO'!J18+'[4]FFOR ESTIMACIONES'!J18</f>
        <v>72968.796871253842</v>
      </c>
      <c r="J15" s="604">
        <f>'[4]FOFIR  INCREMENTO'!K18+'[4]FFOR ESTIMACIONES'!K18</f>
        <v>72968.796871253842</v>
      </c>
      <c r="K15" s="604">
        <f>'[4]FOFIR  INCREMENTO'!L18+'[4]FFOR ESTIMACIONES'!L18</f>
        <v>98594.8735892369</v>
      </c>
      <c r="L15" s="604">
        <f>'[4]FOFIR  INCREMENTO'!M18+'[4]FFOR ESTIMACIONES'!M18</f>
        <v>72968.796871253857</v>
      </c>
      <c r="M15" s="604">
        <f>'[4]FOFIR  INCREMENTO'!N18+'[4]FFOR ESTIMACIONES'!N18</f>
        <v>72968.796871253857</v>
      </c>
      <c r="N15" s="605">
        <f t="shared" si="0"/>
        <v>985307.48536396737</v>
      </c>
      <c r="P15" s="606"/>
    </row>
    <row r="16" spans="1:16" ht="12.75" customHeight="1" x14ac:dyDescent="0.2">
      <c r="A16" s="602" t="s">
        <v>158</v>
      </c>
      <c r="B16" s="604">
        <f>'[4]FOFIR  INCREMENTO'!C19+'[4]FFOR ESTIMACIONES'!C19</f>
        <v>175211.10725289915</v>
      </c>
      <c r="C16" s="604">
        <f>'[4]FOFIR  INCREMENTO'!D19+'[4]FFOR ESTIMACIONES'!D19</f>
        <v>130974.14327742736</v>
      </c>
      <c r="D16" s="604">
        <f>'[4]FOFIR  INCREMENTO'!E19+'[4]FFOR ESTIMACIONES'!E19</f>
        <v>130974.14327742736</v>
      </c>
      <c r="E16" s="604">
        <f>'[4]FOFIR  INCREMENTO'!F19+'[4]FFOR ESTIMACIONES'!F19</f>
        <v>209229.25806835794</v>
      </c>
      <c r="F16" s="604">
        <f>'[4]FOFIR  INCREMENTO'!G19+'[4]FFOR ESTIMACIONES'!G19</f>
        <v>130974.14327742736</v>
      </c>
      <c r="G16" s="604">
        <f>'[4]FOFIR  INCREMENTO'!H19+'[4]FFOR ESTIMACIONES'!H19</f>
        <v>130974.14327742736</v>
      </c>
      <c r="H16" s="604">
        <f>'[4]FOFIR  INCREMENTO'!I19+'[4]FFOR ESTIMACIONES'!I19</f>
        <v>175892.37743240609</v>
      </c>
      <c r="I16" s="604">
        <f>'[4]FOFIR  INCREMENTO'!J19+'[4]FFOR ESTIMACIONES'!J19</f>
        <v>130974.14327742737</v>
      </c>
      <c r="J16" s="604">
        <f>'[4]FOFIR  INCREMENTO'!K19+'[4]FFOR ESTIMACIONES'!K19</f>
        <v>130974.14327742737</v>
      </c>
      <c r="K16" s="604">
        <f>'[4]FOFIR  INCREMENTO'!L19+'[4]FFOR ESTIMACIONES'!L19</f>
        <v>182041.63685868873</v>
      </c>
      <c r="L16" s="604">
        <f>'[4]FOFIR  INCREMENTO'!M19+'[4]FFOR ESTIMACIONES'!M19</f>
        <v>130974.1432774274</v>
      </c>
      <c r="M16" s="604">
        <f>'[4]FOFIR  INCREMENTO'!N19+'[4]FFOR ESTIMACIONES'!N19</f>
        <v>130974.1432774274</v>
      </c>
      <c r="N16" s="605">
        <f t="shared" si="0"/>
        <v>1790167.5258317711</v>
      </c>
      <c r="P16" s="606"/>
    </row>
    <row r="17" spans="1:16" ht="12.75" customHeight="1" x14ac:dyDescent="0.2">
      <c r="A17" s="602" t="s">
        <v>285</v>
      </c>
      <c r="B17" s="604">
        <f>'[4]FOFIR  INCREMENTO'!C20+'[4]FFOR ESTIMACIONES'!C20</f>
        <v>32082.245978128209</v>
      </c>
      <c r="C17" s="604">
        <f>'[4]FOFIR  INCREMENTO'!D20+'[4]FFOR ESTIMACIONES'!D20</f>
        <v>24734.573295392911</v>
      </c>
      <c r="D17" s="604">
        <f>'[4]FOFIR  INCREMENTO'!E20+'[4]FFOR ESTIMACIONES'!E20</f>
        <v>24734.573295392911</v>
      </c>
      <c r="E17" s="604">
        <f>'[4]FOFIR  INCREMENTO'!F20+'[4]FFOR ESTIMACIONES'!F20</f>
        <v>37898.266086048701</v>
      </c>
      <c r="F17" s="604">
        <f>'[4]FOFIR  INCREMENTO'!G20+'[4]FFOR ESTIMACIONES'!G20</f>
        <v>24734.573295392911</v>
      </c>
      <c r="G17" s="604">
        <f>'[4]FOFIR  INCREMENTO'!H20+'[4]FFOR ESTIMACIONES'!H20</f>
        <v>24734.573295392911</v>
      </c>
      <c r="H17" s="604">
        <f>'[4]FOFIR  INCREMENTO'!I20+'[4]FFOR ESTIMACIONES'!I20</f>
        <v>31863.80267220438</v>
      </c>
      <c r="I17" s="604">
        <f>'[4]FOFIR  INCREMENTO'!J20+'[4]FFOR ESTIMACIONES'!J20</f>
        <v>24734.573295392915</v>
      </c>
      <c r="J17" s="604">
        <f>'[4]FOFIR  INCREMENTO'!K20+'[4]FFOR ESTIMACIONES'!K20</f>
        <v>24734.573295392915</v>
      </c>
      <c r="K17" s="604">
        <f>'[4]FOFIR  INCREMENTO'!L20+'[4]FFOR ESTIMACIONES'!L20</f>
        <v>33159.848552051655</v>
      </c>
      <c r="L17" s="604">
        <f>'[4]FOFIR  INCREMENTO'!M20+'[4]FFOR ESTIMACIONES'!M20</f>
        <v>24734.573295392922</v>
      </c>
      <c r="M17" s="604">
        <f>'[4]FOFIR  INCREMENTO'!N20+'[4]FFOR ESTIMACIONES'!N20</f>
        <v>24734.573295392922</v>
      </c>
      <c r="N17" s="605">
        <f t="shared" si="0"/>
        <v>332880.74965157622</v>
      </c>
      <c r="P17" s="606"/>
    </row>
    <row r="18" spans="1:16" ht="12.75" customHeight="1" x14ac:dyDescent="0.2">
      <c r="A18" s="602" t="s">
        <v>286</v>
      </c>
      <c r="B18" s="604">
        <f>'[4]FOFIR  INCREMENTO'!C21+'[4]FFOR ESTIMACIONES'!C21</f>
        <v>99391.400023789014</v>
      </c>
      <c r="C18" s="604">
        <f>'[4]FOFIR  INCREMENTO'!D21+'[4]FFOR ESTIMACIONES'!D21</f>
        <v>75403.363201752349</v>
      </c>
      <c r="D18" s="604">
        <f>'[4]FOFIR  INCREMENTO'!E21+'[4]FFOR ESTIMACIONES'!E21</f>
        <v>75403.363201752349</v>
      </c>
      <c r="E18" s="604">
        <f>'[4]FOFIR  INCREMENTO'!F21+'[4]FFOR ESTIMACIONES'!F21</f>
        <v>118081.71964193785</v>
      </c>
      <c r="F18" s="604">
        <f>'[4]FOFIR  INCREMENTO'!G21+'[4]FFOR ESTIMACIONES'!G21</f>
        <v>75403.363201752349</v>
      </c>
      <c r="G18" s="604">
        <f>'[4]FOFIR  INCREMENTO'!H21+'[4]FFOR ESTIMACIONES'!H21</f>
        <v>75403.363201752349</v>
      </c>
      <c r="H18" s="604">
        <f>'[4]FOFIR  INCREMENTO'!I21+'[4]FFOR ESTIMACIONES'!I21</f>
        <v>99273.330570092847</v>
      </c>
      <c r="I18" s="604">
        <f>'[4]FOFIR  INCREMENTO'!J21+'[4]FFOR ESTIMACIONES'!J21</f>
        <v>75403.363201752363</v>
      </c>
      <c r="J18" s="604">
        <f>'[4]FOFIR  INCREMENTO'!K21+'[4]FFOR ESTIMACIONES'!K21</f>
        <v>75403.363201752363</v>
      </c>
      <c r="K18" s="604">
        <f>'[4]FOFIR  INCREMENTO'!L21+'[4]FFOR ESTIMACIONES'!L21</f>
        <v>103011.63676344753</v>
      </c>
      <c r="L18" s="604">
        <f>'[4]FOFIR  INCREMENTO'!M21+'[4]FFOR ESTIMACIONES'!M21</f>
        <v>75403.363201752378</v>
      </c>
      <c r="M18" s="604">
        <f>'[4]FOFIR  INCREMENTO'!N21+'[4]FFOR ESTIMACIONES'!N21</f>
        <v>75403.363201752378</v>
      </c>
      <c r="N18" s="605">
        <f t="shared" si="0"/>
        <v>1022984.9926132861</v>
      </c>
      <c r="P18" s="606"/>
    </row>
    <row r="19" spans="1:16" ht="12.75" customHeight="1" x14ac:dyDescent="0.2">
      <c r="A19" s="602" t="s">
        <v>287</v>
      </c>
      <c r="B19" s="604">
        <f>'[4]FOFIR  INCREMENTO'!C22+'[4]FFOR ESTIMACIONES'!C22</f>
        <v>420065.61621562677</v>
      </c>
      <c r="C19" s="604">
        <f>'[4]FOFIR  INCREMENTO'!D22+'[4]FFOR ESTIMACIONES'!D22</f>
        <v>297399.6705633708</v>
      </c>
      <c r="D19" s="604">
        <f>'[4]FOFIR  INCREMENTO'!E22+'[4]FFOR ESTIMACIONES'!E22</f>
        <v>297399.6705633708</v>
      </c>
      <c r="E19" s="604">
        <f>'[4]FOFIR  INCREMENTO'!F22+'[4]FFOR ESTIMACIONES'!F22</f>
        <v>510738.40749591962</v>
      </c>
      <c r="F19" s="604">
        <f>'[4]FOFIR  INCREMENTO'!G22+'[4]FFOR ESTIMACIONES'!G22</f>
        <v>297399.6705633708</v>
      </c>
      <c r="G19" s="604">
        <f>'[4]FOFIR  INCREMENTO'!H22+'[4]FFOR ESTIMACIONES'!H22</f>
        <v>297399.6705633708</v>
      </c>
      <c r="H19" s="604">
        <f>'[4]FOFIR  INCREMENTO'!I22+'[4]FFOR ESTIMACIONES'!I22</f>
        <v>429274.62224649225</v>
      </c>
      <c r="I19" s="604">
        <f>'[4]FOFIR  INCREMENTO'!J22+'[4]FFOR ESTIMACIONES'!J22</f>
        <v>297399.6705633708</v>
      </c>
      <c r="J19" s="604">
        <f>'[4]FOFIR  INCREMENTO'!K22+'[4]FFOR ESTIMACIONES'!K22</f>
        <v>297399.6705633708</v>
      </c>
      <c r="K19" s="604">
        <f>'[4]FOFIR  INCREMENTO'!L22+'[4]FFOR ESTIMACIONES'!L22</f>
        <v>440262.99265450577</v>
      </c>
      <c r="L19" s="604">
        <f>'[4]FOFIR  INCREMENTO'!M22+'[4]FFOR ESTIMACIONES'!M22</f>
        <v>297399.67056337092</v>
      </c>
      <c r="M19" s="604">
        <f>'[4]FOFIR  INCREMENTO'!N22+'[4]FFOR ESTIMACIONES'!N22</f>
        <v>297399.67056337092</v>
      </c>
      <c r="N19" s="605">
        <f t="shared" si="0"/>
        <v>4179539.0031195115</v>
      </c>
      <c r="P19" s="606"/>
    </row>
    <row r="20" spans="1:16" ht="12.75" customHeight="1" x14ac:dyDescent="0.2">
      <c r="A20" s="602" t="s">
        <v>162</v>
      </c>
      <c r="B20" s="604">
        <f>'[4]FOFIR  INCREMENTO'!C23+'[4]FFOR ESTIMACIONES'!C23</f>
        <v>170533.97903100238</v>
      </c>
      <c r="C20" s="604">
        <f>'[4]FOFIR  INCREMENTO'!D23+'[4]FFOR ESTIMACIONES'!D23</f>
        <v>129601.39277329139</v>
      </c>
      <c r="D20" s="604">
        <f>'[4]FOFIR  INCREMENTO'!E23+'[4]FFOR ESTIMACIONES'!E23</f>
        <v>129601.39277329139</v>
      </c>
      <c r="E20" s="604">
        <f>'[4]FOFIR  INCREMENTO'!F23+'[4]FFOR ESTIMACIONES'!F23</f>
        <v>202478.65253937428</v>
      </c>
      <c r="F20" s="604">
        <f>'[4]FOFIR  INCREMENTO'!G23+'[4]FFOR ESTIMACIONES'!G23</f>
        <v>129601.39277329139</v>
      </c>
      <c r="G20" s="604">
        <f>'[4]FOFIR  INCREMENTO'!H23+'[4]FFOR ESTIMACIONES'!H23</f>
        <v>129601.39277329139</v>
      </c>
      <c r="H20" s="604">
        <f>'[4]FOFIR  INCREMENTO'!I23+'[4]FFOR ESTIMACIONES'!I23</f>
        <v>170228.46891281396</v>
      </c>
      <c r="I20" s="604">
        <f>'[4]FOFIR  INCREMENTO'!J23+'[4]FFOR ESTIMACIONES'!J23</f>
        <v>129601.3927732914</v>
      </c>
      <c r="J20" s="604">
        <f>'[4]FOFIR  INCREMENTO'!K23+'[4]FFOR ESTIMACIONES'!K23</f>
        <v>129601.3927732914</v>
      </c>
      <c r="K20" s="604">
        <f>'[4]FOFIR  INCREMENTO'!L23+'[4]FFOR ESTIMACIONES'!L23</f>
        <v>176693.59722003041</v>
      </c>
      <c r="L20" s="604">
        <f>'[4]FOFIR  INCREMENTO'!M23+'[4]FFOR ESTIMACIONES'!M23</f>
        <v>129601.39277329143</v>
      </c>
      <c r="M20" s="604">
        <f>'[4]FOFIR  INCREMENTO'!N23+'[4]FFOR ESTIMACIONES'!N23</f>
        <v>129601.39277329143</v>
      </c>
      <c r="N20" s="605">
        <f t="shared" si="0"/>
        <v>1756745.839889552</v>
      </c>
      <c r="P20" s="606"/>
    </row>
    <row r="21" spans="1:16" ht="12.75" customHeight="1" x14ac:dyDescent="0.2">
      <c r="A21" s="602" t="s">
        <v>163</v>
      </c>
      <c r="B21" s="604">
        <f>'[4]FOFIR  INCREMENTO'!C24+'[4]FFOR ESTIMACIONES'!C24</f>
        <v>4412920.4130918365</v>
      </c>
      <c r="C21" s="604">
        <f>'[4]FOFIR  INCREMENTO'!D24+'[4]FFOR ESTIMACIONES'!D24</f>
        <v>1495464.6506116232</v>
      </c>
      <c r="D21" s="604">
        <f>'[4]FOFIR  INCREMENTO'!E24+'[4]FFOR ESTIMACIONES'!E24</f>
        <v>1495464.6506116232</v>
      </c>
      <c r="E21" s="604">
        <f>'[4]FOFIR  INCREMENTO'!F24+'[4]FFOR ESTIMACIONES'!F24</f>
        <v>6259364.9387764577</v>
      </c>
      <c r="F21" s="604">
        <f>'[4]FOFIR  INCREMENTO'!G24+'[4]FFOR ESTIMACIONES'!G24</f>
        <v>1495464.6506116232</v>
      </c>
      <c r="G21" s="604">
        <f>'[4]FOFIR  INCREMENTO'!H24+'[4]FFOR ESTIMACIONES'!H24</f>
        <v>1495464.6506116232</v>
      </c>
      <c r="H21" s="604">
        <f>'[4]FOFIR  INCREMENTO'!I24+'[4]FFOR ESTIMACIONES'!I24</f>
        <v>5252613.6326778764</v>
      </c>
      <c r="I21" s="604">
        <f>'[4]FOFIR  INCREMENTO'!J24+'[4]FFOR ESTIMACIONES'!J24</f>
        <v>1495464.6506116227</v>
      </c>
      <c r="J21" s="604">
        <f>'[4]FOFIR  INCREMENTO'!K24+'[4]FFOR ESTIMACIONES'!K24</f>
        <v>1495464.6506116227</v>
      </c>
      <c r="K21" s="604">
        <f>'[4]FOFIR  INCREMENTO'!L24+'[4]FFOR ESTIMACIONES'!L24</f>
        <v>4999856.7513061259</v>
      </c>
      <c r="L21" s="604">
        <f>'[4]FOFIR  INCREMENTO'!M24+'[4]FFOR ESTIMACIONES'!M24</f>
        <v>1495464.650611623</v>
      </c>
      <c r="M21" s="604">
        <f>'[4]FOFIR  INCREMENTO'!N24+'[4]FFOR ESTIMACIONES'!N24</f>
        <v>1495464.650611623</v>
      </c>
      <c r="N21" s="605">
        <f t="shared" si="0"/>
        <v>32888472.940745287</v>
      </c>
      <c r="P21" s="606"/>
    </row>
    <row r="22" spans="1:16" ht="12.75" customHeight="1" x14ac:dyDescent="0.2">
      <c r="A22" s="602" t="s">
        <v>164</v>
      </c>
      <c r="B22" s="604">
        <f>'[4]FOFIR  INCREMENTO'!C25+'[4]FFOR ESTIMACIONES'!C25</f>
        <v>129036.36345567444</v>
      </c>
      <c r="C22" s="604">
        <f>'[4]FOFIR  INCREMENTO'!D25+'[4]FFOR ESTIMACIONES'!D25</f>
        <v>99018.198689019351</v>
      </c>
      <c r="D22" s="604">
        <f>'[4]FOFIR  INCREMENTO'!E25+'[4]FFOR ESTIMACIONES'!E25</f>
        <v>99018.198689019351</v>
      </c>
      <c r="E22" s="604">
        <f>'[4]FOFIR  INCREMENTO'!F25+'[4]FFOR ESTIMACIONES'!F25</f>
        <v>152684.13042086223</v>
      </c>
      <c r="F22" s="604">
        <f>'[4]FOFIR  INCREMENTO'!G25+'[4]FFOR ESTIMACIONES'!G25</f>
        <v>99018.198689019351</v>
      </c>
      <c r="G22" s="604">
        <f>'[4]FOFIR  INCREMENTO'!H25+'[4]FFOR ESTIMACIONES'!H25</f>
        <v>99018.198689019351</v>
      </c>
      <c r="H22" s="604">
        <f>'[4]FOFIR  INCREMENTO'!I25+'[4]FFOR ESTIMACIONES'!I25</f>
        <v>128370.08658560559</v>
      </c>
      <c r="I22" s="604">
        <f>'[4]FOFIR  INCREMENTO'!J25+'[4]FFOR ESTIMACIONES'!J25</f>
        <v>99018.198689019366</v>
      </c>
      <c r="J22" s="604">
        <f>'[4]FOFIR  INCREMENTO'!K25+'[4]FFOR ESTIMACIONES'!K25</f>
        <v>99018.198689019366</v>
      </c>
      <c r="K22" s="604">
        <f>'[4]FOFIR  INCREMENTO'!L25+'[4]FFOR ESTIMACIONES'!L25</f>
        <v>133477.62796442886</v>
      </c>
      <c r="L22" s="604">
        <f>'[4]FOFIR  INCREMENTO'!M25+'[4]FFOR ESTIMACIONES'!M25</f>
        <v>99018.198689019395</v>
      </c>
      <c r="M22" s="604">
        <f>'[4]FOFIR  INCREMENTO'!N25+'[4]FFOR ESTIMACIONES'!N25</f>
        <v>99018.198689019395</v>
      </c>
      <c r="N22" s="605">
        <f t="shared" si="0"/>
        <v>1335713.7979387259</v>
      </c>
      <c r="P22" s="606"/>
    </row>
    <row r="23" spans="1:16" ht="12.75" customHeight="1" thickBot="1" x14ac:dyDescent="0.25">
      <c r="A23" s="602" t="s">
        <v>165</v>
      </c>
      <c r="B23" s="604">
        <f>'[4]FOFIR  INCREMENTO'!C26+'[4]FFOR ESTIMACIONES'!C26</f>
        <v>252294.59741357152</v>
      </c>
      <c r="C23" s="604">
        <f>'[4]FOFIR  INCREMENTO'!D26+'[4]FFOR ESTIMACIONES'!D26</f>
        <v>155725.51565779196</v>
      </c>
      <c r="D23" s="604">
        <f>'[4]FOFIR  INCREMENTO'!E26+'[4]FFOR ESTIMACIONES'!E26</f>
        <v>155725.51565779196</v>
      </c>
      <c r="E23" s="604">
        <f>'[4]FOFIR  INCREMENTO'!F26+'[4]FFOR ESTIMACIONES'!F26</f>
        <v>319318.22507719009</v>
      </c>
      <c r="F23" s="604">
        <f>'[4]FOFIR  INCREMENTO'!G26+'[4]FFOR ESTIMACIONES'!G26</f>
        <v>155725.51565779196</v>
      </c>
      <c r="G23" s="604">
        <f>'[4]FOFIR  INCREMENTO'!H26+'[4]FFOR ESTIMACIONES'!H26</f>
        <v>155725.51565779196</v>
      </c>
      <c r="H23" s="604">
        <f>'[4]FOFIR  INCREMENTO'!I26+'[4]FFOR ESTIMACIONES'!I26</f>
        <v>268268.68315012148</v>
      </c>
      <c r="I23" s="604">
        <f>'[4]FOFIR  INCREMENTO'!J26+'[4]FFOR ESTIMACIONES'!J26</f>
        <v>155725.51565779193</v>
      </c>
      <c r="J23" s="604">
        <f>'[4]FOFIR  INCREMENTO'!K26+'[4]FFOR ESTIMACIONES'!K26</f>
        <v>155725.51565779193</v>
      </c>
      <c r="K23" s="604">
        <f>'[4]FOFIR  INCREMENTO'!L26+'[4]FFOR ESTIMACIONES'!L26</f>
        <v>269692.96717135882</v>
      </c>
      <c r="L23" s="604">
        <f>'[4]FOFIR  INCREMENTO'!M26+'[4]FFOR ESTIMACIONES'!M26</f>
        <v>155725.51565779198</v>
      </c>
      <c r="M23" s="604">
        <f>'[4]FOFIR  INCREMENTO'!N26+'[4]FFOR ESTIMACIONES'!N26</f>
        <v>155725.51565779198</v>
      </c>
      <c r="N23" s="605">
        <f t="shared" si="0"/>
        <v>2355378.5980745773</v>
      </c>
      <c r="P23" s="606"/>
    </row>
    <row r="24" spans="1:16" ht="13.5" thickBot="1" x14ac:dyDescent="0.25">
      <c r="A24" s="607" t="s">
        <v>288</v>
      </c>
      <c r="B24" s="609">
        <f t="shared" ref="B24:M24" si="1">SUM(B4:B23)</f>
        <v>8600323.0550843012</v>
      </c>
      <c r="C24" s="609">
        <f t="shared" si="1"/>
        <v>3786233.6736040069</v>
      </c>
      <c r="D24" s="609">
        <f t="shared" si="1"/>
        <v>3786233.6736040069</v>
      </c>
      <c r="E24" s="609">
        <f t="shared" si="1"/>
        <v>11720443.243427617</v>
      </c>
      <c r="F24" s="609">
        <f t="shared" si="1"/>
        <v>3786233.6736040069</v>
      </c>
      <c r="G24" s="609">
        <f t="shared" si="1"/>
        <v>3786233.6736040069</v>
      </c>
      <c r="H24" s="609">
        <f t="shared" si="1"/>
        <v>9839176.3666764665</v>
      </c>
      <c r="I24" s="609">
        <f t="shared" si="1"/>
        <v>3786233.6736040059</v>
      </c>
      <c r="J24" s="609">
        <f t="shared" si="1"/>
        <v>3786233.6736040059</v>
      </c>
      <c r="K24" s="609">
        <f t="shared" si="1"/>
        <v>9543633.8618403543</v>
      </c>
      <c r="L24" s="609">
        <f t="shared" si="1"/>
        <v>3786233.6736040064</v>
      </c>
      <c r="M24" s="609">
        <f t="shared" si="1"/>
        <v>3786233.6736040064</v>
      </c>
      <c r="N24" s="609">
        <f t="shared" si="0"/>
        <v>69993445.915860787</v>
      </c>
    </row>
    <row r="25" spans="1:16" x14ac:dyDescent="0.2">
      <c r="A25" s="610"/>
      <c r="B25" s="610"/>
      <c r="C25" s="610"/>
      <c r="D25" s="610"/>
      <c r="E25" s="610"/>
      <c r="F25" s="610"/>
      <c r="G25" s="610"/>
      <c r="H25" s="610"/>
      <c r="I25" s="610"/>
      <c r="J25" s="610"/>
      <c r="K25" s="610"/>
      <c r="L25" s="610"/>
      <c r="M25" s="610"/>
      <c r="N25" s="610"/>
    </row>
    <row r="26" spans="1:16" x14ac:dyDescent="0.2">
      <c r="A26" s="611" t="s">
        <v>289</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FFFF00"/>
  </sheetPr>
  <dimension ref="A1:Q30"/>
  <sheetViews>
    <sheetView workbookViewId="0">
      <selection activeCell="B7" sqref="B7"/>
    </sheetView>
  </sheetViews>
  <sheetFormatPr baseColWidth="10" defaultRowHeight="15" x14ac:dyDescent="0.25"/>
  <cols>
    <col min="1" max="1" width="16.5703125" customWidth="1"/>
    <col min="2" max="2" width="9.28515625" customWidth="1"/>
    <col min="3" max="10" width="7.85546875" customWidth="1"/>
    <col min="11" max="11" width="10.140625" bestFit="1" customWidth="1"/>
    <col min="12" max="12" width="7.85546875" customWidth="1"/>
    <col min="13" max="14" width="10.140625" bestFit="1" customWidth="1"/>
    <col min="15" max="15" width="7.85546875" customWidth="1"/>
    <col min="16" max="16" width="12.7109375" bestFit="1" customWidth="1"/>
  </cols>
  <sheetData>
    <row r="1" spans="1:17" x14ac:dyDescent="0.25">
      <c r="A1" s="1255" t="s">
        <v>384</v>
      </c>
      <c r="B1" s="1255"/>
      <c r="C1" s="1255"/>
      <c r="D1" s="1255"/>
      <c r="E1" s="1255"/>
      <c r="F1" s="1255"/>
      <c r="G1" s="1255"/>
      <c r="H1" s="1255"/>
      <c r="I1" s="1255"/>
      <c r="J1" s="1255"/>
      <c r="K1" s="1255"/>
      <c r="L1" s="1255"/>
      <c r="M1" s="1255"/>
      <c r="N1" s="1255"/>
      <c r="O1" s="1255"/>
      <c r="P1" s="597"/>
      <c r="Q1" s="597"/>
    </row>
    <row r="2" spans="1:17" ht="15.75" thickBot="1" x14ac:dyDescent="0.3">
      <c r="A2" s="597"/>
      <c r="B2" s="597"/>
      <c r="C2" s="597"/>
      <c r="D2" s="597"/>
      <c r="E2" s="597"/>
      <c r="F2" s="597"/>
      <c r="G2" s="597"/>
      <c r="H2" s="597"/>
      <c r="I2" s="597"/>
      <c r="J2" s="597"/>
      <c r="K2" s="597"/>
      <c r="L2" s="597"/>
      <c r="M2" s="597"/>
      <c r="N2" s="597"/>
      <c r="O2" s="597"/>
      <c r="P2" s="597"/>
      <c r="Q2" s="597"/>
    </row>
    <row r="3" spans="1:17" ht="24" thickBot="1" x14ac:dyDescent="0.3">
      <c r="A3" s="598" t="s">
        <v>341</v>
      </c>
      <c r="B3" s="599" t="s">
        <v>281</v>
      </c>
      <c r="C3" s="598" t="s">
        <v>1</v>
      </c>
      <c r="D3" s="600" t="s">
        <v>2</v>
      </c>
      <c r="E3" s="598" t="s">
        <v>3</v>
      </c>
      <c r="F3" s="600" t="s">
        <v>4</v>
      </c>
      <c r="G3" s="598" t="s">
        <v>5</v>
      </c>
      <c r="H3" s="598" t="s">
        <v>6</v>
      </c>
      <c r="I3" s="598" t="s">
        <v>7</v>
      </c>
      <c r="J3" s="600" t="s">
        <v>8</v>
      </c>
      <c r="K3" s="598" t="s">
        <v>9</v>
      </c>
      <c r="L3" s="600" t="s">
        <v>10</v>
      </c>
      <c r="M3" s="598" t="s">
        <v>11</v>
      </c>
      <c r="N3" s="598" t="s">
        <v>12</v>
      </c>
      <c r="O3" s="601" t="s">
        <v>168</v>
      </c>
      <c r="P3" s="597"/>
      <c r="Q3" s="597"/>
    </row>
    <row r="4" spans="1:17" ht="12.75" customHeight="1" x14ac:dyDescent="0.25">
      <c r="A4" s="602" t="s">
        <v>282</v>
      </c>
      <c r="B4" s="603">
        <f>'[2]FGP simpl'!$C$16</f>
        <v>3.6636711021849497</v>
      </c>
      <c r="C4" s="604">
        <f t="shared" ref="C4:C23" si="0">$C$29*B4/100</f>
        <v>26495.964336525285</v>
      </c>
      <c r="D4" s="604">
        <f t="shared" ref="D4:D23" si="1">$D$29*B4/100</f>
        <v>34355.640699795986</v>
      </c>
      <c r="E4" s="604">
        <f t="shared" ref="E4:E23" si="2">$E$29*B4/100</f>
        <v>27055.978446520865</v>
      </c>
      <c r="F4" s="604">
        <f t="shared" ref="F4:F23" si="3">$F$29*B4/100</f>
        <v>23926.746282284919</v>
      </c>
      <c r="G4" s="604">
        <f t="shared" ref="G4:G23" si="4">$G$29*B4/100</f>
        <v>25964.125689141052</v>
      </c>
      <c r="H4" s="604">
        <f t="shared" ref="H4:H23" si="5">$H$29*B4/100</f>
        <v>23113.490982446336</v>
      </c>
      <c r="I4" s="604">
        <f t="shared" ref="I4:I23" si="6">$I$29*B4/100</f>
        <v>24585.242619260553</v>
      </c>
      <c r="J4" s="604">
        <f t="shared" ref="J4:J23" si="7">$J$29*B4/100</f>
        <v>23957.707966769485</v>
      </c>
      <c r="K4" s="604">
        <f t="shared" ref="K4:K23" si="8">$K$29*B4/100</f>
        <v>23186.649914768088</v>
      </c>
      <c r="L4" s="604">
        <f t="shared" ref="L4:L23" si="9">$L$29*B4/100</f>
        <v>23839.516105177448</v>
      </c>
      <c r="M4" s="604">
        <f t="shared" ref="M4:M23" si="10">$M$29*B4/100</f>
        <v>22454.994645470691</v>
      </c>
      <c r="N4" s="604">
        <f t="shared" ref="N4:N23" si="11">$N$29*B4/100</f>
        <v>24315.086259938773</v>
      </c>
      <c r="O4" s="605">
        <f>SUM(C4:N4)</f>
        <v>303251.14394809952</v>
      </c>
      <c r="P4" s="606"/>
      <c r="Q4" s="606"/>
    </row>
    <row r="5" spans="1:17" ht="12.75" customHeight="1" x14ac:dyDescent="0.25">
      <c r="A5" s="602" t="s">
        <v>147</v>
      </c>
      <c r="B5" s="603">
        <v>2.8774681766767136</v>
      </c>
      <c r="C5" s="604">
        <f t="shared" si="0"/>
        <v>20810.081489914217</v>
      </c>
      <c r="D5" s="604">
        <f t="shared" si="1"/>
        <v>26983.116127439902</v>
      </c>
      <c r="E5" s="604">
        <f t="shared" si="2"/>
        <v>21249.91976552831</v>
      </c>
      <c r="F5" s="604">
        <f t="shared" si="3"/>
        <v>18792.202978491361</v>
      </c>
      <c r="G5" s="604">
        <f t="shared" si="4"/>
        <v>20392.372383312853</v>
      </c>
      <c r="H5" s="604">
        <f t="shared" si="5"/>
        <v>18153.467628201968</v>
      </c>
      <c r="I5" s="604">
        <f t="shared" si="6"/>
        <v>19309.389756795652</v>
      </c>
      <c r="J5" s="604">
        <f t="shared" si="7"/>
        <v>18816.520462052453</v>
      </c>
      <c r="K5" s="604">
        <f t="shared" si="8"/>
        <v>18210.927070854981</v>
      </c>
      <c r="L5" s="604">
        <f t="shared" si="9"/>
        <v>18723.691899938771</v>
      </c>
      <c r="M5" s="604">
        <f t="shared" si="10"/>
        <v>17636.280849897674</v>
      </c>
      <c r="N5" s="604">
        <f t="shared" si="11"/>
        <v>19097.20741154865</v>
      </c>
      <c r="O5" s="605">
        <f t="shared" ref="O5:O23" si="12">SUM(C5:N5)</f>
        <v>238175.17782397682</v>
      </c>
      <c r="P5" s="606"/>
      <c r="Q5" s="597"/>
    </row>
    <row r="6" spans="1:17" ht="12.75" customHeight="1" x14ac:dyDescent="0.25">
      <c r="A6" s="602" t="s">
        <v>148</v>
      </c>
      <c r="B6" s="603">
        <v>4.7152682285520395</v>
      </c>
      <c r="C6" s="604">
        <f t="shared" si="0"/>
        <v>34101.199407980748</v>
      </c>
      <c r="D6" s="604">
        <f t="shared" si="1"/>
        <v>44216.867875144613</v>
      </c>
      <c r="E6" s="604">
        <f t="shared" si="2"/>
        <v>34821.956448324301</v>
      </c>
      <c r="F6" s="604">
        <f t="shared" si="3"/>
        <v>30794.529151429349</v>
      </c>
      <c r="G6" s="604">
        <f t="shared" si="4"/>
        <v>33416.705137948877</v>
      </c>
      <c r="H6" s="604">
        <f t="shared" si="5"/>
        <v>29747.842161774763</v>
      </c>
      <c r="I6" s="604">
        <f t="shared" si="6"/>
        <v>31642.036138207539</v>
      </c>
      <c r="J6" s="604">
        <f t="shared" si="7"/>
        <v>30834.377883228841</v>
      </c>
      <c r="K6" s="604">
        <f t="shared" si="8"/>
        <v>29842.000174213663</v>
      </c>
      <c r="L6" s="604">
        <f t="shared" si="9"/>
        <v>30682.260972541637</v>
      </c>
      <c r="M6" s="604">
        <f t="shared" si="10"/>
        <v>28900.335174996566</v>
      </c>
      <c r="N6" s="604">
        <f t="shared" si="11"/>
        <v>31294.335795485295</v>
      </c>
      <c r="O6" s="605">
        <f t="shared" si="12"/>
        <v>390294.44632127619</v>
      </c>
      <c r="P6" s="606"/>
      <c r="Q6" s="597"/>
    </row>
    <row r="7" spans="1:17" ht="12.75" customHeight="1" x14ac:dyDescent="0.25">
      <c r="A7" s="602" t="s">
        <v>283</v>
      </c>
      <c r="B7" s="603">
        <v>9.1392838894846484</v>
      </c>
      <c r="C7" s="604">
        <f t="shared" si="0"/>
        <v>66096.036801106078</v>
      </c>
      <c r="D7" s="604">
        <f t="shared" si="1"/>
        <v>85702.549383680409</v>
      </c>
      <c r="E7" s="604">
        <f t="shared" si="2"/>
        <v>67493.031179317157</v>
      </c>
      <c r="F7" s="604">
        <f t="shared" si="3"/>
        <v>59686.94261203205</v>
      </c>
      <c r="G7" s="604">
        <f t="shared" si="4"/>
        <v>64769.328085647096</v>
      </c>
      <c r="H7" s="604">
        <f t="shared" si="5"/>
        <v>57658.220367991045</v>
      </c>
      <c r="I7" s="604">
        <f t="shared" si="6"/>
        <v>61329.607795655364</v>
      </c>
      <c r="J7" s="604">
        <f t="shared" si="7"/>
        <v>59764.178700182085</v>
      </c>
      <c r="K7" s="604">
        <f t="shared" si="8"/>
        <v>57840.720443159196</v>
      </c>
      <c r="L7" s="604">
        <f t="shared" si="9"/>
        <v>59469.340832265356</v>
      </c>
      <c r="M7" s="604">
        <f t="shared" si="10"/>
        <v>56015.555184367717</v>
      </c>
      <c r="N7" s="604">
        <f t="shared" si="11"/>
        <v>60655.683856107695</v>
      </c>
      <c r="O7" s="605">
        <f t="shared" si="12"/>
        <v>756481.1952415111</v>
      </c>
      <c r="P7" s="606"/>
      <c r="Q7" s="597"/>
    </row>
    <row r="8" spans="1:17" ht="12.75" customHeight="1" x14ac:dyDescent="0.25">
      <c r="A8" s="602" t="s">
        <v>150</v>
      </c>
      <c r="B8" s="603">
        <v>5.3963653133391265</v>
      </c>
      <c r="C8" s="604">
        <f t="shared" si="0"/>
        <v>39026.948353476284</v>
      </c>
      <c r="D8" s="604">
        <f t="shared" si="1"/>
        <v>50603.774907456704</v>
      </c>
      <c r="E8" s="604">
        <f t="shared" si="2"/>
        <v>39851.815169812056</v>
      </c>
      <c r="F8" s="604">
        <f t="shared" si="3"/>
        <v>35242.645995647603</v>
      </c>
      <c r="G8" s="604">
        <f t="shared" si="4"/>
        <v>38243.582284582757</v>
      </c>
      <c r="H8" s="604">
        <f t="shared" si="5"/>
        <v>34044.770267031876</v>
      </c>
      <c r="I8" s="604">
        <f t="shared" si="6"/>
        <v>36212.571158879895</v>
      </c>
      <c r="J8" s="604">
        <f t="shared" si="7"/>
        <v>35288.250678910626</v>
      </c>
      <c r="K8" s="604">
        <f t="shared" si="8"/>
        <v>34152.52893688262</v>
      </c>
      <c r="L8" s="604">
        <f t="shared" si="9"/>
        <v>35114.16123571965</v>
      </c>
      <c r="M8" s="604">
        <f t="shared" si="10"/>
        <v>33074.845103799576</v>
      </c>
      <c r="N8" s="604">
        <f t="shared" si="11"/>
        <v>35814.64722794827</v>
      </c>
      <c r="O8" s="605">
        <f t="shared" si="12"/>
        <v>446670.54132014792</v>
      </c>
      <c r="P8" s="606"/>
      <c r="Q8" s="597"/>
    </row>
    <row r="9" spans="1:17" ht="12.75" customHeight="1" x14ac:dyDescent="0.25">
      <c r="A9" s="602" t="s">
        <v>284</v>
      </c>
      <c r="B9" s="603">
        <v>3.6295907588400458</v>
      </c>
      <c r="C9" s="604">
        <f t="shared" si="0"/>
        <v>26249.492549987299</v>
      </c>
      <c r="D9" s="604">
        <f t="shared" si="1"/>
        <v>34036.056327119913</v>
      </c>
      <c r="E9" s="604">
        <f t="shared" si="2"/>
        <v>26804.297275020555</v>
      </c>
      <c r="F9" s="604">
        <f t="shared" si="3"/>
        <v>23704.173975523991</v>
      </c>
      <c r="G9" s="604">
        <f t="shared" si="4"/>
        <v>25722.601192684906</v>
      </c>
      <c r="H9" s="604">
        <f t="shared" si="5"/>
        <v>22898.483770660503</v>
      </c>
      <c r="I9" s="604">
        <f t="shared" si="6"/>
        <v>24356.544822347929</v>
      </c>
      <c r="J9" s="604">
        <f t="shared" si="7"/>
        <v>23734.847647026945</v>
      </c>
      <c r="K9" s="604">
        <f t="shared" si="8"/>
        <v>22970.962161126092</v>
      </c>
      <c r="L9" s="604">
        <f t="shared" si="9"/>
        <v>23617.755234351385</v>
      </c>
      <c r="M9" s="604">
        <f t="shared" si="10"/>
        <v>22246.112923836557</v>
      </c>
      <c r="N9" s="604">
        <f t="shared" si="11"/>
        <v>24088.901521984139</v>
      </c>
      <c r="O9" s="605">
        <f t="shared" si="12"/>
        <v>300430.22940167016</v>
      </c>
      <c r="P9" s="606"/>
      <c r="Q9" s="597"/>
    </row>
    <row r="10" spans="1:17" ht="12.75" customHeight="1" x14ac:dyDescent="0.25">
      <c r="A10" s="602" t="s">
        <v>152</v>
      </c>
      <c r="B10" s="603">
        <v>4.0700473326514279</v>
      </c>
      <c r="C10" s="604">
        <f t="shared" si="0"/>
        <v>29434.909948545406</v>
      </c>
      <c r="D10" s="604">
        <f t="shared" si="1"/>
        <v>38166.385543818011</v>
      </c>
      <c r="E10" s="604">
        <f t="shared" si="2"/>
        <v>30057.041103625172</v>
      </c>
      <c r="F10" s="604">
        <f t="shared" si="3"/>
        <v>26580.712943136106</v>
      </c>
      <c r="G10" s="604">
        <f t="shared" si="4"/>
        <v>28844.079492477395</v>
      </c>
      <c r="H10" s="604">
        <f t="shared" si="5"/>
        <v>25677.250958816974</v>
      </c>
      <c r="I10" s="604">
        <f t="shared" si="6"/>
        <v>27312.250023053039</v>
      </c>
      <c r="J10" s="604">
        <f t="shared" si="7"/>
        <v>26615.108913144344</v>
      </c>
      <c r="K10" s="604">
        <f t="shared" si="8"/>
        <v>25758.524716490858</v>
      </c>
      <c r="L10" s="604">
        <f t="shared" si="9"/>
        <v>26483.807151169338</v>
      </c>
      <c r="M10" s="604">
        <f t="shared" si="10"/>
        <v>24945.713878900035</v>
      </c>
      <c r="N10" s="604">
        <f t="shared" si="11"/>
        <v>27012.127785278823</v>
      </c>
      <c r="O10" s="605">
        <f t="shared" si="12"/>
        <v>336887.91245845548</v>
      </c>
      <c r="P10" s="606"/>
      <c r="Q10" s="597"/>
    </row>
    <row r="11" spans="1:17" ht="12.75" customHeight="1" x14ac:dyDescent="0.25">
      <c r="A11" s="602" t="s">
        <v>153</v>
      </c>
      <c r="B11" s="603">
        <v>3.2056447774490451</v>
      </c>
      <c r="C11" s="604">
        <f t="shared" si="0"/>
        <v>23183.481084916079</v>
      </c>
      <c r="D11" s="604">
        <f t="shared" si="1"/>
        <v>30060.553230211095</v>
      </c>
      <c r="E11" s="604">
        <f t="shared" si="2"/>
        <v>23673.483123017828</v>
      </c>
      <c r="F11" s="604">
        <f t="shared" si="3"/>
        <v>20935.462578890361</v>
      </c>
      <c r="G11" s="604">
        <f t="shared" si="4"/>
        <v>22718.132057975297</v>
      </c>
      <c r="H11" s="604">
        <f t="shared" si="5"/>
        <v>20223.879161070578</v>
      </c>
      <c r="I11" s="604">
        <f t="shared" si="6"/>
        <v>21511.634752843518</v>
      </c>
      <c r="J11" s="604">
        <f t="shared" si="7"/>
        <v>20962.553482904579</v>
      </c>
      <c r="K11" s="604">
        <f t="shared" si="8"/>
        <v>20287.891880220264</v>
      </c>
      <c r="L11" s="604">
        <f t="shared" si="9"/>
        <v>20859.137779561683</v>
      </c>
      <c r="M11" s="604">
        <f t="shared" si="10"/>
        <v>19647.706987117417</v>
      </c>
      <c r="N11" s="604">
        <f t="shared" si="11"/>
        <v>21275.252911188014</v>
      </c>
      <c r="O11" s="605">
        <f t="shared" si="12"/>
        <v>265339.16902991669</v>
      </c>
      <c r="P11" s="606"/>
      <c r="Q11" s="597"/>
    </row>
    <row r="12" spans="1:17" ht="12.75" customHeight="1" x14ac:dyDescent="0.25">
      <c r="A12" s="602" t="s">
        <v>154</v>
      </c>
      <c r="B12" s="603">
        <v>3.1677886526185874</v>
      </c>
      <c r="C12" s="604">
        <f t="shared" si="0"/>
        <v>22909.702542724161</v>
      </c>
      <c r="D12" s="604">
        <f t="shared" si="1"/>
        <v>29705.561915028306</v>
      </c>
      <c r="E12" s="604">
        <f t="shared" si="2"/>
        <v>23393.918045008832</v>
      </c>
      <c r="F12" s="604">
        <f t="shared" si="3"/>
        <v>20688.23135403814</v>
      </c>
      <c r="G12" s="604">
        <f t="shared" si="4"/>
        <v>22449.848919072458</v>
      </c>
      <c r="H12" s="604">
        <f t="shared" si="5"/>
        <v>19985.051172560008</v>
      </c>
      <c r="I12" s="604">
        <f t="shared" si="6"/>
        <v>21257.599391146679</v>
      </c>
      <c r="J12" s="604">
        <f t="shared" si="7"/>
        <v>20715.002335941419</v>
      </c>
      <c r="K12" s="604">
        <f t="shared" si="8"/>
        <v>20048.307952216986</v>
      </c>
      <c r="L12" s="604">
        <f t="shared" si="9"/>
        <v>20612.807890113614</v>
      </c>
      <c r="M12" s="604">
        <f t="shared" si="10"/>
        <v>19415.683135451465</v>
      </c>
      <c r="N12" s="604">
        <f t="shared" si="11"/>
        <v>21024.009031744077</v>
      </c>
      <c r="O12" s="605">
        <f t="shared" si="12"/>
        <v>262205.72368504619</v>
      </c>
      <c r="P12" s="606"/>
      <c r="Q12" s="597"/>
    </row>
    <row r="13" spans="1:17" ht="12.75" customHeight="1" x14ac:dyDescent="0.25">
      <c r="A13" s="602" t="s">
        <v>155</v>
      </c>
      <c r="B13" s="603">
        <v>2.8145431996763457</v>
      </c>
      <c r="C13" s="604">
        <f t="shared" si="0"/>
        <v>20355.002990786907</v>
      </c>
      <c r="D13" s="604">
        <f t="shared" si="1"/>
        <v>26393.044627959971</v>
      </c>
      <c r="E13" s="604">
        <f t="shared" si="2"/>
        <v>20785.222806116635</v>
      </c>
      <c r="F13" s="604">
        <f t="shared" si="3"/>
        <v>18381.251799328878</v>
      </c>
      <c r="G13" s="604">
        <f t="shared" si="4"/>
        <v>19946.428419934291</v>
      </c>
      <c r="H13" s="604">
        <f t="shared" si="5"/>
        <v>17756.484425315321</v>
      </c>
      <c r="I13" s="604">
        <f t="shared" si="6"/>
        <v>18887.128646773297</v>
      </c>
      <c r="J13" s="604">
        <f t="shared" si="7"/>
        <v>18405.037503909341</v>
      </c>
      <c r="K13" s="604">
        <f t="shared" si="8"/>
        <v>17812.687334833856</v>
      </c>
      <c r="L13" s="604">
        <f t="shared" si="9"/>
        <v>18314.238933016182</v>
      </c>
      <c r="M13" s="604">
        <f t="shared" si="10"/>
        <v>17250.607577870895</v>
      </c>
      <c r="N13" s="604">
        <f t="shared" si="11"/>
        <v>18679.586342136568</v>
      </c>
      <c r="O13" s="605">
        <f t="shared" si="12"/>
        <v>232966.72140798214</v>
      </c>
      <c r="P13" s="606"/>
      <c r="Q13" s="597"/>
    </row>
    <row r="14" spans="1:17" ht="12.75" customHeight="1" x14ac:dyDescent="0.25">
      <c r="A14" s="602" t="s">
        <v>156</v>
      </c>
      <c r="B14" s="603">
        <v>3.814501471077032</v>
      </c>
      <c r="C14" s="604">
        <f t="shared" si="0"/>
        <v>27586.781706197518</v>
      </c>
      <c r="D14" s="604">
        <f t="shared" si="1"/>
        <v>35770.034572975179</v>
      </c>
      <c r="E14" s="604">
        <f t="shared" si="2"/>
        <v>28169.851143060467</v>
      </c>
      <c r="F14" s="604">
        <f t="shared" si="3"/>
        <v>24911.791027702169</v>
      </c>
      <c r="G14" s="604">
        <f t="shared" si="4"/>
        <v>27033.047692897882</v>
      </c>
      <c r="H14" s="604">
        <f t="shared" si="5"/>
        <v>24065.054666530061</v>
      </c>
      <c r="I14" s="604">
        <f t="shared" si="6"/>
        <v>25597.397124983767</v>
      </c>
      <c r="J14" s="604">
        <f t="shared" si="7"/>
        <v>24944.027379634241</v>
      </c>
      <c r="K14" s="604">
        <f t="shared" si="8"/>
        <v>24141.225492780628</v>
      </c>
      <c r="L14" s="604">
        <f t="shared" si="9"/>
        <v>24820.969654926554</v>
      </c>
      <c r="M14" s="604">
        <f t="shared" si="10"/>
        <v>23379.44856924846</v>
      </c>
      <c r="N14" s="604">
        <f t="shared" si="11"/>
        <v>25316.118647382656</v>
      </c>
      <c r="O14" s="605">
        <f t="shared" si="12"/>
        <v>315735.74767831952</v>
      </c>
      <c r="P14" s="606"/>
      <c r="Q14" s="597"/>
    </row>
    <row r="15" spans="1:17" ht="12.75" customHeight="1" x14ac:dyDescent="0.25">
      <c r="A15" s="602" t="s">
        <v>157</v>
      </c>
      <c r="B15" s="603">
        <v>3.0792318274418586</v>
      </c>
      <c r="C15" s="604">
        <f t="shared" si="0"/>
        <v>22269.252454221631</v>
      </c>
      <c r="D15" s="604">
        <f t="shared" si="1"/>
        <v>28875.130803056523</v>
      </c>
      <c r="E15" s="604">
        <f t="shared" si="2"/>
        <v>22739.931514437081</v>
      </c>
      <c r="F15" s="604">
        <f t="shared" si="3"/>
        <v>20109.883399631264</v>
      </c>
      <c r="G15" s="604">
        <f t="shared" si="4"/>
        <v>21822.25422637512</v>
      </c>
      <c r="H15" s="604">
        <f t="shared" si="5"/>
        <v>19426.360907231414</v>
      </c>
      <c r="I15" s="604">
        <f t="shared" si="6"/>
        <v>20663.334520792218</v>
      </c>
      <c r="J15" s="604">
        <f t="shared" si="7"/>
        <v>20135.905987804974</v>
      </c>
      <c r="K15" s="604">
        <f t="shared" si="8"/>
        <v>19487.849317785647</v>
      </c>
      <c r="L15" s="604">
        <f t="shared" si="9"/>
        <v>20036.568429435785</v>
      </c>
      <c r="M15" s="604">
        <f t="shared" si="10"/>
        <v>18872.909786070457</v>
      </c>
      <c r="N15" s="604">
        <f t="shared" si="11"/>
        <v>20436.274275260534</v>
      </c>
      <c r="O15" s="605">
        <f t="shared" si="12"/>
        <v>254875.65562210264</v>
      </c>
      <c r="P15" s="606"/>
      <c r="Q15" s="597"/>
    </row>
    <row r="16" spans="1:17" ht="12.75" customHeight="1" x14ac:dyDescent="0.25">
      <c r="A16" s="602" t="s">
        <v>158</v>
      </c>
      <c r="B16" s="603">
        <v>3.9687689066587866</v>
      </c>
      <c r="C16" s="604">
        <f t="shared" si="0"/>
        <v>28702.456218853331</v>
      </c>
      <c r="D16" s="604">
        <f t="shared" si="1"/>
        <v>37216.659130885106</v>
      </c>
      <c r="E16" s="604">
        <f t="shared" si="2"/>
        <v>29309.106358849564</v>
      </c>
      <c r="F16" s="604">
        <f t="shared" si="3"/>
        <v>25919.282608641857</v>
      </c>
      <c r="G16" s="604">
        <f t="shared" si="4"/>
        <v>28126.327896133753</v>
      </c>
      <c r="H16" s="604">
        <f t="shared" si="5"/>
        <v>25038.302232087324</v>
      </c>
      <c r="I16" s="604">
        <f t="shared" si="6"/>
        <v>26632.616233425753</v>
      </c>
      <c r="J16" s="604">
        <f t="shared" si="7"/>
        <v>25952.822674672032</v>
      </c>
      <c r="K16" s="604">
        <f t="shared" si="8"/>
        <v>25117.553586192167</v>
      </c>
      <c r="L16" s="604">
        <f t="shared" si="9"/>
        <v>25824.788205358764</v>
      </c>
      <c r="M16" s="604">
        <f t="shared" si="10"/>
        <v>24324.968607303425</v>
      </c>
      <c r="N16" s="604">
        <f t="shared" si="11"/>
        <v>26339.962190825423</v>
      </c>
      <c r="O16" s="605">
        <f t="shared" si="12"/>
        <v>328504.84594322852</v>
      </c>
      <c r="P16" s="606"/>
      <c r="Q16" s="597"/>
    </row>
    <row r="17" spans="1:16" ht="12.75" customHeight="1" x14ac:dyDescent="0.25">
      <c r="A17" s="602" t="s">
        <v>285</v>
      </c>
      <c r="B17" s="603">
        <v>2.5568285677800717</v>
      </c>
      <c r="C17" s="604">
        <f t="shared" si="0"/>
        <v>18491.190026885186</v>
      </c>
      <c r="D17" s="604">
        <f t="shared" si="1"/>
        <v>23976.3562709652</v>
      </c>
      <c r="E17" s="604">
        <f t="shared" si="2"/>
        <v>18882.016614441774</v>
      </c>
      <c r="F17" s="604">
        <f t="shared" si="3"/>
        <v>16698.166053193767</v>
      </c>
      <c r="G17" s="604">
        <f t="shared" si="4"/>
        <v>18120.026729429108</v>
      </c>
      <c r="H17" s="604">
        <f t="shared" si="5"/>
        <v>16130.605722167937</v>
      </c>
      <c r="I17" s="604">
        <f t="shared" si="6"/>
        <v>17157.722110273706</v>
      </c>
      <c r="J17" s="604">
        <f t="shared" si="7"/>
        <v>16719.773811420073</v>
      </c>
      <c r="K17" s="604">
        <f t="shared" si="8"/>
        <v>16181.662392630797</v>
      </c>
      <c r="L17" s="604">
        <f t="shared" si="9"/>
        <v>16637.289243409203</v>
      </c>
      <c r="M17" s="604">
        <f t="shared" si="10"/>
        <v>15671.049665087994</v>
      </c>
      <c r="N17" s="604">
        <f t="shared" si="11"/>
        <v>16969.183489307034</v>
      </c>
      <c r="O17" s="605">
        <f t="shared" si="12"/>
        <v>211635.0421292118</v>
      </c>
      <c r="P17" s="606"/>
    </row>
    <row r="18" spans="1:16" ht="12.75" customHeight="1" x14ac:dyDescent="0.25">
      <c r="A18" s="602" t="s">
        <v>286</v>
      </c>
      <c r="B18" s="603">
        <v>3.0448340829893383</v>
      </c>
      <c r="C18" s="604">
        <f t="shared" si="0"/>
        <v>22020.485197322578</v>
      </c>
      <c r="D18" s="604">
        <f t="shared" si="1"/>
        <v>28552.570039185164</v>
      </c>
      <c r="E18" s="604">
        <f t="shared" si="2"/>
        <v>22485.906355911997</v>
      </c>
      <c r="F18" s="604">
        <f t="shared" si="3"/>
        <v>19885.238205987247</v>
      </c>
      <c r="G18" s="604">
        <f t="shared" si="4"/>
        <v>21578.480335248387</v>
      </c>
      <c r="H18" s="604">
        <f t="shared" si="5"/>
        <v>19209.351264704917</v>
      </c>
      <c r="I18" s="604">
        <f t="shared" si="6"/>
        <v>20432.506788352974</v>
      </c>
      <c r="J18" s="604">
        <f t="shared" si="7"/>
        <v>19910.970098822589</v>
      </c>
      <c r="K18" s="604">
        <f t="shared" si="8"/>
        <v>19270.152795299611</v>
      </c>
      <c r="L18" s="604">
        <f t="shared" si="9"/>
        <v>19812.74222888831</v>
      </c>
      <c r="M18" s="604">
        <f t="shared" si="10"/>
        <v>18662.082682339187</v>
      </c>
      <c r="N18" s="604">
        <f t="shared" si="11"/>
        <v>20207.983006698909</v>
      </c>
      <c r="O18" s="605">
        <f t="shared" si="12"/>
        <v>252028.46899876185</v>
      </c>
      <c r="P18" s="606"/>
    </row>
    <row r="19" spans="1:16" ht="12.75" customHeight="1" x14ac:dyDescent="0.25">
      <c r="A19" s="602" t="s">
        <v>287</v>
      </c>
      <c r="B19" s="603">
        <v>6.4580166897572191</v>
      </c>
      <c r="C19" s="604">
        <f t="shared" si="0"/>
        <v>46704.896570667734</v>
      </c>
      <c r="D19" s="604">
        <f t="shared" si="1"/>
        <v>60559.284618716418</v>
      </c>
      <c r="E19" s="604">
        <f t="shared" si="2"/>
        <v>47692.043169797267</v>
      </c>
      <c r="F19" s="604">
        <f t="shared" si="3"/>
        <v>42176.091279162552</v>
      </c>
      <c r="G19" s="604">
        <f t="shared" si="4"/>
        <v>45767.41534889079</v>
      </c>
      <c r="H19" s="604">
        <f t="shared" si="5"/>
        <v>40742.552035899454</v>
      </c>
      <c r="I19" s="604">
        <f t="shared" si="6"/>
        <v>43336.834210425259</v>
      </c>
      <c r="J19" s="604">
        <f t="shared" si="7"/>
        <v>42230.66797820769</v>
      </c>
      <c r="K19" s="604">
        <f t="shared" si="8"/>
        <v>40871.510556673042</v>
      </c>
      <c r="L19" s="604">
        <f t="shared" si="9"/>
        <v>42022.329130787773</v>
      </c>
      <c r="M19" s="604">
        <f t="shared" si="10"/>
        <v>39581.809104636734</v>
      </c>
      <c r="N19" s="604">
        <f t="shared" si="11"/>
        <v>42860.62490323509</v>
      </c>
      <c r="O19" s="605">
        <f t="shared" si="12"/>
        <v>534546.05890709977</v>
      </c>
      <c r="P19" s="606"/>
    </row>
    <row r="20" spans="1:16" ht="12.75" customHeight="1" x14ac:dyDescent="0.25">
      <c r="A20" s="602" t="s">
        <v>162</v>
      </c>
      <c r="B20" s="603">
        <v>3.6739352083662298</v>
      </c>
      <c r="C20" s="604">
        <f t="shared" si="0"/>
        <v>26570.195178688849</v>
      </c>
      <c r="D20" s="604">
        <f t="shared" si="1"/>
        <v>34451.891136648323</v>
      </c>
      <c r="E20" s="604">
        <f t="shared" si="2"/>
        <v>27131.778218898875</v>
      </c>
      <c r="F20" s="604">
        <f t="shared" si="3"/>
        <v>23993.779227536874</v>
      </c>
      <c r="G20" s="604">
        <f t="shared" si="4"/>
        <v>26036.866537198759</v>
      </c>
      <c r="H20" s="604">
        <f t="shared" si="5"/>
        <v>23178.24551937035</v>
      </c>
      <c r="I20" s="604">
        <f t="shared" si="6"/>
        <v>24654.120401599183</v>
      </c>
      <c r="J20" s="604">
        <f t="shared" si="7"/>
        <v>24024.827653982775</v>
      </c>
      <c r="K20" s="604">
        <f t="shared" si="8"/>
        <v>23251.609413062411</v>
      </c>
      <c r="L20" s="604">
        <f t="shared" si="9"/>
        <v>23906.304667193275</v>
      </c>
      <c r="M20" s="604">
        <f t="shared" si="10"/>
        <v>22517.904345308034</v>
      </c>
      <c r="N20" s="604">
        <f t="shared" si="11"/>
        <v>24383.207174785672</v>
      </c>
      <c r="O20" s="605">
        <f t="shared" si="12"/>
        <v>304100.72947427334</v>
      </c>
      <c r="P20" s="606"/>
    </row>
    <row r="21" spans="1:16" ht="12.75" customHeight="1" x14ac:dyDescent="0.25">
      <c r="A21" s="602" t="s">
        <v>163</v>
      </c>
      <c r="B21" s="603">
        <v>21.979340072457017</v>
      </c>
      <c r="C21" s="604">
        <f t="shared" si="0"/>
        <v>158956.35674088498</v>
      </c>
      <c r="D21" s="604">
        <f t="shared" si="1"/>
        <v>206108.65148283207</v>
      </c>
      <c r="E21" s="604">
        <f t="shared" si="2"/>
        <v>162316.03074700048</v>
      </c>
      <c r="F21" s="604">
        <f t="shared" si="3"/>
        <v>143542.93240244815</v>
      </c>
      <c r="G21" s="604">
        <f t="shared" si="4"/>
        <v>155765.71484959673</v>
      </c>
      <c r="H21" s="604">
        <f t="shared" si="5"/>
        <v>138663.99695700925</v>
      </c>
      <c r="I21" s="604">
        <f t="shared" si="6"/>
        <v>147493.42755421629</v>
      </c>
      <c r="J21" s="604">
        <f t="shared" si="7"/>
        <v>143728.67980540049</v>
      </c>
      <c r="K21" s="604">
        <f t="shared" si="8"/>
        <v>139102.89690408114</v>
      </c>
      <c r="L21" s="604">
        <f t="shared" si="9"/>
        <v>143019.61530499297</v>
      </c>
      <c r="M21" s="604">
        <f t="shared" si="10"/>
        <v>134713.50180524107</v>
      </c>
      <c r="N21" s="604">
        <f t="shared" si="11"/>
        <v>145872.68750177842</v>
      </c>
      <c r="O21" s="605">
        <f t="shared" si="12"/>
        <v>1819284.4920554818</v>
      </c>
      <c r="P21" s="606"/>
    </row>
    <row r="22" spans="1:16" ht="12.75" customHeight="1" x14ac:dyDescent="0.25">
      <c r="A22" s="602" t="s">
        <v>164</v>
      </c>
      <c r="B22" s="603">
        <v>3.7144952969630278</v>
      </c>
      <c r="C22" s="604">
        <f t="shared" si="0"/>
        <v>26863.529004508026</v>
      </c>
      <c r="D22" s="604">
        <f t="shared" si="1"/>
        <v>34832.23855095428</v>
      </c>
      <c r="E22" s="604">
        <f t="shared" si="2"/>
        <v>27431.311897620606</v>
      </c>
      <c r="F22" s="604">
        <f t="shared" si="3"/>
        <v>24258.669530725885</v>
      </c>
      <c r="G22" s="604">
        <f t="shared" si="4"/>
        <v>26324.312437476736</v>
      </c>
      <c r="H22" s="604">
        <f t="shared" si="5"/>
        <v>23434.132365072797</v>
      </c>
      <c r="I22" s="604">
        <f t="shared" si="6"/>
        <v>24926.300843292298</v>
      </c>
      <c r="J22" s="604">
        <f t="shared" si="7"/>
        <v>24290.06073048052</v>
      </c>
      <c r="K22" s="604">
        <f t="shared" si="8"/>
        <v>23508.30619303403</v>
      </c>
      <c r="L22" s="604">
        <f t="shared" si="9"/>
        <v>24170.229254952843</v>
      </c>
      <c r="M22" s="604">
        <f t="shared" si="10"/>
        <v>22766.501052506381</v>
      </c>
      <c r="N22" s="604">
        <f t="shared" si="11"/>
        <v>24652.396745965721</v>
      </c>
      <c r="O22" s="605">
        <f t="shared" si="12"/>
        <v>307457.98860659008</v>
      </c>
      <c r="P22" s="606"/>
    </row>
    <row r="23" spans="1:16" ht="12.75" customHeight="1" thickBot="1" x14ac:dyDescent="0.3">
      <c r="A23" s="602" t="s">
        <v>165</v>
      </c>
      <c r="B23" s="603">
        <v>5.0303764450364916</v>
      </c>
      <c r="C23" s="604">
        <f t="shared" si="0"/>
        <v>36380.087395807735</v>
      </c>
      <c r="D23" s="604">
        <f t="shared" si="1"/>
        <v>47171.757756126848</v>
      </c>
      <c r="E23" s="604">
        <f t="shared" si="2"/>
        <v>37149.010617690234</v>
      </c>
      <c r="F23" s="604">
        <f t="shared" si="3"/>
        <v>32852.441594167554</v>
      </c>
      <c r="G23" s="604">
        <f t="shared" si="4"/>
        <v>35649.850283975786</v>
      </c>
      <c r="H23" s="604">
        <f t="shared" si="5"/>
        <v>31735.807434057129</v>
      </c>
      <c r="I23" s="604">
        <f t="shared" si="6"/>
        <v>33756.585107674953</v>
      </c>
      <c r="J23" s="604">
        <f t="shared" si="7"/>
        <v>32894.953305504554</v>
      </c>
      <c r="K23" s="604">
        <f t="shared" si="8"/>
        <v>31836.257763693946</v>
      </c>
      <c r="L23" s="604">
        <f t="shared" si="9"/>
        <v>32732.670846199449</v>
      </c>
      <c r="M23" s="604">
        <f t="shared" si="10"/>
        <v>30831.663920549719</v>
      </c>
      <c r="N23" s="604">
        <f t="shared" si="11"/>
        <v>33385.648921400309</v>
      </c>
      <c r="O23" s="605">
        <f t="shared" si="12"/>
        <v>416376.73494684818</v>
      </c>
      <c r="P23" s="606"/>
    </row>
    <row r="24" spans="1:16" ht="15.75" thickBot="1" x14ac:dyDescent="0.3">
      <c r="A24" s="607" t="s">
        <v>288</v>
      </c>
      <c r="B24" s="612">
        <f>SUM(B4:B23)</f>
        <v>100</v>
      </c>
      <c r="C24" s="609">
        <f>SUM(C4:C23)</f>
        <v>723208.05000000016</v>
      </c>
      <c r="D24" s="609">
        <f t="shared" ref="D24:N24" si="13">SUM(D4:D23)</f>
        <v>937738.125</v>
      </c>
      <c r="E24" s="609">
        <f t="shared" si="13"/>
        <v>738493.65</v>
      </c>
      <c r="F24" s="609">
        <f t="shared" si="13"/>
        <v>653081.17500000005</v>
      </c>
      <c r="G24" s="609">
        <f t="shared" si="13"/>
        <v>708691.50000000012</v>
      </c>
      <c r="H24" s="609">
        <f t="shared" si="13"/>
        <v>630883.35</v>
      </c>
      <c r="I24" s="609">
        <f t="shared" si="13"/>
        <v>671054.84999999986</v>
      </c>
      <c r="J24" s="609">
        <f t="shared" si="13"/>
        <v>653926.27500000002</v>
      </c>
      <c r="K24" s="609">
        <f t="shared" si="13"/>
        <v>632880.22499999998</v>
      </c>
      <c r="L24" s="609">
        <f t="shared" si="13"/>
        <v>650700.22500000009</v>
      </c>
      <c r="M24" s="609">
        <f t="shared" si="13"/>
        <v>612909.67500000005</v>
      </c>
      <c r="N24" s="609">
        <f t="shared" si="13"/>
        <v>663680.92500000016</v>
      </c>
      <c r="O24" s="609">
        <f>SUM(C24:N24)</f>
        <v>8277248.0249999985</v>
      </c>
      <c r="P24" s="597"/>
    </row>
    <row r="25" spans="1:16" x14ac:dyDescent="0.25">
      <c r="A25" s="610"/>
      <c r="B25" s="610"/>
      <c r="C25" s="610"/>
      <c r="D25" s="610"/>
      <c r="E25" s="610"/>
      <c r="F25" s="610"/>
      <c r="G25" s="610"/>
      <c r="H25" s="610"/>
      <c r="I25" s="610"/>
      <c r="J25" s="610"/>
      <c r="K25" s="610"/>
      <c r="L25" s="610"/>
      <c r="M25" s="610"/>
      <c r="N25" s="610"/>
      <c r="O25" s="610"/>
      <c r="P25" s="597"/>
    </row>
    <row r="26" spans="1:16" x14ac:dyDescent="0.25">
      <c r="A26" s="611" t="s">
        <v>289</v>
      </c>
      <c r="B26" s="597"/>
      <c r="C26" s="597"/>
      <c r="D26" s="597"/>
      <c r="E26" s="597"/>
      <c r="F26" s="597"/>
      <c r="G26" s="597"/>
      <c r="H26" s="597"/>
      <c r="I26" s="597"/>
      <c r="J26" s="597"/>
      <c r="K26" s="597"/>
      <c r="L26" s="597"/>
      <c r="M26" s="597"/>
      <c r="N26" s="597"/>
      <c r="O26" s="606"/>
      <c r="P26" s="597"/>
    </row>
    <row r="29" spans="1:16" hidden="1" x14ac:dyDescent="0.25">
      <c r="A29" s="597" t="s">
        <v>342</v>
      </c>
      <c r="B29" s="597"/>
      <c r="C29" s="606">
        <v>723208.05</v>
      </c>
      <c r="D29" s="606">
        <v>937738.125</v>
      </c>
      <c r="E29" s="606">
        <v>738493.65</v>
      </c>
      <c r="F29" s="606">
        <v>653081.17500000005</v>
      </c>
      <c r="G29" s="606">
        <v>708691.5</v>
      </c>
      <c r="H29" s="606">
        <v>630883.35</v>
      </c>
      <c r="I29" s="606">
        <v>671054.84999999986</v>
      </c>
      <c r="J29" s="606">
        <v>653926.27500000002</v>
      </c>
      <c r="K29" s="606">
        <v>632880.22499999998</v>
      </c>
      <c r="L29" s="606">
        <v>650700.22499999998</v>
      </c>
      <c r="M29" s="606">
        <v>612909.67500000005</v>
      </c>
      <c r="N29" s="606">
        <v>663680.92500000005</v>
      </c>
      <c r="O29" s="606">
        <f>SUM(C29:N29)</f>
        <v>8277248.0249999985</v>
      </c>
      <c r="P29" s="597"/>
    </row>
    <row r="30" spans="1:16" x14ac:dyDescent="0.25">
      <c r="A30" s="597"/>
      <c r="B30" s="597"/>
      <c r="C30" s="597"/>
      <c r="D30" s="597"/>
      <c r="E30" s="597"/>
      <c r="F30" s="597"/>
      <c r="G30" s="597"/>
      <c r="H30" s="597"/>
      <c r="I30" s="597"/>
      <c r="J30" s="597"/>
      <c r="K30" s="597"/>
      <c r="L30" s="597"/>
      <c r="M30" s="597"/>
      <c r="N30" s="597"/>
      <c r="O30" s="597"/>
      <c r="P30" s="597"/>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pageSetUpPr fitToPage="1"/>
  </sheetPr>
  <dimension ref="A1:S29"/>
  <sheetViews>
    <sheetView topLeftCell="A4" zoomScaleNormal="100" workbookViewId="0">
      <selection activeCell="S7" sqref="S7"/>
    </sheetView>
  </sheetViews>
  <sheetFormatPr baseColWidth="10" defaultRowHeight="15" x14ac:dyDescent="0.25"/>
  <cols>
    <col min="1" max="1" width="3.7109375" customWidth="1"/>
    <col min="2" max="2" width="18.5703125" customWidth="1"/>
    <col min="3" max="14" width="13.28515625" customWidth="1"/>
    <col min="15" max="15" width="14.28515625" customWidth="1"/>
  </cols>
  <sheetData>
    <row r="1" spans="1:19" x14ac:dyDescent="0.25">
      <c r="A1" s="1260" t="s">
        <v>525</v>
      </c>
      <c r="B1" s="1260"/>
      <c r="C1" s="1260"/>
      <c r="D1" s="1260"/>
      <c r="E1" s="1260"/>
      <c r="F1" s="1260"/>
      <c r="G1" s="1260"/>
      <c r="H1" s="1260"/>
      <c r="I1" s="1260"/>
      <c r="J1" s="1260"/>
      <c r="K1" s="1260"/>
      <c r="L1" s="1260"/>
      <c r="M1" s="1260"/>
      <c r="N1" s="1260"/>
      <c r="O1" s="1260"/>
    </row>
    <row r="2" spans="1:19" x14ac:dyDescent="0.25">
      <c r="A2" s="1260"/>
      <c r="B2" s="1260"/>
      <c r="C2" s="1260"/>
      <c r="D2" s="1260"/>
      <c r="E2" s="1260"/>
      <c r="F2" s="1260"/>
      <c r="G2" s="1260"/>
      <c r="H2" s="1260"/>
      <c r="I2" s="1260"/>
      <c r="J2" s="1260"/>
      <c r="K2" s="1260"/>
      <c r="L2" s="1260"/>
      <c r="M2" s="1260"/>
      <c r="N2" s="1260"/>
      <c r="O2" s="1260"/>
    </row>
    <row r="4" spans="1:19" x14ac:dyDescent="0.25">
      <c r="A4" s="845" t="s">
        <v>409</v>
      </c>
      <c r="B4" s="1261" t="s">
        <v>343</v>
      </c>
      <c r="C4" s="1258" t="s">
        <v>1</v>
      </c>
      <c r="D4" s="1258" t="s">
        <v>2</v>
      </c>
      <c r="E4" s="1258" t="s">
        <v>3</v>
      </c>
      <c r="F4" s="1258" t="s">
        <v>4</v>
      </c>
      <c r="G4" s="1258" t="s">
        <v>5</v>
      </c>
      <c r="H4" s="1258" t="s">
        <v>6</v>
      </c>
      <c r="I4" s="1258" t="s">
        <v>7</v>
      </c>
      <c r="J4" s="1258" t="s">
        <v>8</v>
      </c>
      <c r="K4" s="1258" t="s">
        <v>9</v>
      </c>
      <c r="L4" s="1258" t="s">
        <v>10</v>
      </c>
      <c r="M4" s="1258" t="s">
        <v>11</v>
      </c>
      <c r="N4" s="1258" t="s">
        <v>12</v>
      </c>
      <c r="O4" s="1258" t="s">
        <v>168</v>
      </c>
      <c r="Q4" s="1259" t="s">
        <v>410</v>
      </c>
    </row>
    <row r="5" spans="1:19" x14ac:dyDescent="0.25">
      <c r="A5" s="846" t="s">
        <v>411</v>
      </c>
      <c r="B5" s="1262"/>
      <c r="C5" s="1258"/>
      <c r="D5" s="1258"/>
      <c r="E5" s="1258"/>
      <c r="F5" s="1258"/>
      <c r="G5" s="1258"/>
      <c r="H5" s="1258"/>
      <c r="I5" s="1258"/>
      <c r="J5" s="1258"/>
      <c r="K5" s="1258"/>
      <c r="L5" s="1258"/>
      <c r="M5" s="1258"/>
      <c r="N5" s="1258"/>
      <c r="O5" s="1258"/>
      <c r="Q5" s="1259"/>
    </row>
    <row r="6" spans="1:19" x14ac:dyDescent="0.25">
      <c r="A6" s="847" t="s">
        <v>412</v>
      </c>
      <c r="B6" s="1263"/>
      <c r="C6" s="1258"/>
      <c r="D6" s="1258"/>
      <c r="E6" s="1258"/>
      <c r="F6" s="1258"/>
      <c r="G6" s="1258"/>
      <c r="H6" s="1258"/>
      <c r="I6" s="1258"/>
      <c r="J6" s="1258"/>
      <c r="K6" s="1258"/>
      <c r="L6" s="1258"/>
      <c r="M6" s="1258"/>
      <c r="N6" s="1258"/>
      <c r="O6" s="1258"/>
      <c r="Q6" s="1259"/>
    </row>
    <row r="7" spans="1:19" ht="24.95" customHeight="1" x14ac:dyDescent="0.25">
      <c r="A7" s="848">
        <v>1</v>
      </c>
      <c r="B7" s="849" t="s">
        <v>282</v>
      </c>
      <c r="C7" s="850">
        <v>715189</v>
      </c>
      <c r="D7" s="850">
        <v>333005</v>
      </c>
      <c r="E7" s="850">
        <v>661624</v>
      </c>
      <c r="F7" s="850">
        <v>575820</v>
      </c>
      <c r="G7" s="850">
        <v>364871</v>
      </c>
      <c r="H7" s="851">
        <v>475790</v>
      </c>
      <c r="I7" s="850">
        <v>252103</v>
      </c>
      <c r="J7" s="850">
        <v>348513</v>
      </c>
      <c r="K7" s="850">
        <v>23377</v>
      </c>
      <c r="L7" s="850">
        <v>25682</v>
      </c>
      <c r="M7" s="850">
        <v>2519342</v>
      </c>
      <c r="N7" s="850">
        <v>248868</v>
      </c>
      <c r="O7" s="850">
        <f>SUM(C7:N7)</f>
        <v>6544184</v>
      </c>
      <c r="Q7" s="103">
        <f>O7/$O$27*100</f>
        <v>2.9638456236005406</v>
      </c>
      <c r="R7" s="103">
        <f>ROUND(Q7,6)</f>
        <v>2.9638460000000002</v>
      </c>
      <c r="S7" s="103">
        <v>2.9638460000000002</v>
      </c>
    </row>
    <row r="8" spans="1:19" ht="24.95" customHeight="1" x14ac:dyDescent="0.25">
      <c r="A8" s="848">
        <v>2</v>
      </c>
      <c r="B8" s="849" t="s">
        <v>147</v>
      </c>
      <c r="C8" s="850">
        <v>37452</v>
      </c>
      <c r="D8" s="850">
        <v>287322</v>
      </c>
      <c r="E8" s="850">
        <v>599292</v>
      </c>
      <c r="F8" s="850">
        <v>308591</v>
      </c>
      <c r="G8" s="850">
        <v>132369</v>
      </c>
      <c r="H8" s="851">
        <v>158825</v>
      </c>
      <c r="I8" s="850">
        <v>176287</v>
      </c>
      <c r="J8" s="850">
        <v>369705</v>
      </c>
      <c r="K8" s="850">
        <v>4848</v>
      </c>
      <c r="L8" s="850">
        <v>157415</v>
      </c>
      <c r="M8" s="850">
        <v>224525</v>
      </c>
      <c r="N8" s="850">
        <v>340604</v>
      </c>
      <c r="O8" s="850">
        <f t="shared" ref="O8:O26" si="0">SUM(C8:N8)</f>
        <v>2797235</v>
      </c>
      <c r="Q8" s="103">
        <f t="shared" ref="Q8:Q26" si="1">O8/$O$27*100</f>
        <v>1.2668611874195863</v>
      </c>
      <c r="R8" s="103">
        <f t="shared" ref="R8:R26" si="2">ROUND(Q8,6)</f>
        <v>1.266861</v>
      </c>
      <c r="S8" s="103">
        <v>1.266861</v>
      </c>
    </row>
    <row r="9" spans="1:19" ht="24.95" customHeight="1" x14ac:dyDescent="0.25">
      <c r="A9" s="848">
        <v>3</v>
      </c>
      <c r="B9" s="849" t="s">
        <v>148</v>
      </c>
      <c r="C9" s="850">
        <v>281378</v>
      </c>
      <c r="D9" s="850">
        <v>722595</v>
      </c>
      <c r="E9" s="850">
        <v>227365</v>
      </c>
      <c r="F9" s="850">
        <v>212549</v>
      </c>
      <c r="G9" s="850">
        <v>253862</v>
      </c>
      <c r="H9" s="851">
        <v>288350</v>
      </c>
      <c r="I9" s="850">
        <v>266945</v>
      </c>
      <c r="J9" s="850">
        <v>189004</v>
      </c>
      <c r="K9" s="850">
        <v>246506</v>
      </c>
      <c r="L9" s="850">
        <v>223821</v>
      </c>
      <c r="M9" s="850">
        <v>750400</v>
      </c>
      <c r="N9" s="850">
        <v>-60485</v>
      </c>
      <c r="O9" s="850">
        <f t="shared" si="0"/>
        <v>3602290</v>
      </c>
      <c r="Q9" s="103">
        <f t="shared" si="1"/>
        <v>1.6314687135080541</v>
      </c>
      <c r="R9" s="103">
        <f t="shared" si="2"/>
        <v>1.6314690000000001</v>
      </c>
      <c r="S9" s="103">
        <v>1.6314690000000001</v>
      </c>
    </row>
    <row r="10" spans="1:19" ht="24.95" customHeight="1" x14ac:dyDescent="0.25">
      <c r="A10" s="848">
        <v>4</v>
      </c>
      <c r="B10" s="849" t="s">
        <v>413</v>
      </c>
      <c r="C10" s="850">
        <v>2809051</v>
      </c>
      <c r="D10" s="850">
        <v>5958661</v>
      </c>
      <c r="E10" s="850">
        <v>758069</v>
      </c>
      <c r="F10" s="850">
        <v>6091371</v>
      </c>
      <c r="G10" s="850">
        <v>3844331</v>
      </c>
      <c r="H10" s="851">
        <v>996140</v>
      </c>
      <c r="I10" s="850">
        <v>2365254</v>
      </c>
      <c r="J10" s="850">
        <v>2358570</v>
      </c>
      <c r="K10" s="850">
        <v>3996246</v>
      </c>
      <c r="L10" s="850">
        <v>2468148</v>
      </c>
      <c r="M10" s="850">
        <v>4792097</v>
      </c>
      <c r="N10" s="850">
        <v>3128256</v>
      </c>
      <c r="O10" s="850">
        <f t="shared" si="0"/>
        <v>39566194</v>
      </c>
      <c r="Q10" s="103">
        <f t="shared" si="1"/>
        <v>17.919436698208663</v>
      </c>
      <c r="R10" s="103">
        <f t="shared" si="2"/>
        <v>17.919436999999999</v>
      </c>
      <c r="S10" s="103">
        <v>17.919436999999999</v>
      </c>
    </row>
    <row r="11" spans="1:19" ht="24.95" customHeight="1" x14ac:dyDescent="0.25">
      <c r="A11" s="848">
        <v>5</v>
      </c>
      <c r="B11" s="849" t="s">
        <v>150</v>
      </c>
      <c r="C11" s="850">
        <v>1444674</v>
      </c>
      <c r="D11" s="850">
        <v>76267</v>
      </c>
      <c r="E11" s="850">
        <v>1381791</v>
      </c>
      <c r="F11" s="850">
        <v>1124091</v>
      </c>
      <c r="G11" s="850">
        <v>2340698</v>
      </c>
      <c r="H11" s="851">
        <v>1239928</v>
      </c>
      <c r="I11" s="850">
        <v>1497173</v>
      </c>
      <c r="J11" s="850">
        <v>1099440</v>
      </c>
      <c r="K11" s="850">
        <v>1047806</v>
      </c>
      <c r="L11" s="850">
        <v>1080348</v>
      </c>
      <c r="M11" s="850">
        <v>1081682</v>
      </c>
      <c r="N11" s="850">
        <v>1125928</v>
      </c>
      <c r="O11" s="850">
        <f t="shared" si="0"/>
        <v>14539826</v>
      </c>
      <c r="Q11" s="103">
        <f t="shared" si="1"/>
        <v>6.585053179741486</v>
      </c>
      <c r="R11" s="103">
        <f t="shared" si="2"/>
        <v>6.5850530000000003</v>
      </c>
      <c r="S11" s="103">
        <v>6.5850530000000003</v>
      </c>
    </row>
    <row r="12" spans="1:19" ht="24.95" customHeight="1" x14ac:dyDescent="0.25">
      <c r="A12" s="848">
        <v>6</v>
      </c>
      <c r="B12" s="849" t="s">
        <v>284</v>
      </c>
      <c r="C12" s="850">
        <v>511536</v>
      </c>
      <c r="D12" s="850">
        <v>330787</v>
      </c>
      <c r="E12" s="850">
        <v>1719267</v>
      </c>
      <c r="F12" s="850">
        <v>440565</v>
      </c>
      <c r="G12" s="850">
        <v>421821</v>
      </c>
      <c r="H12" s="851">
        <v>440897</v>
      </c>
      <c r="I12" s="850">
        <v>422910</v>
      </c>
      <c r="J12" s="850">
        <v>470333</v>
      </c>
      <c r="K12" s="850">
        <v>441811</v>
      </c>
      <c r="L12" s="850">
        <v>450936</v>
      </c>
      <c r="M12" s="850">
        <v>441138</v>
      </c>
      <c r="N12" s="850">
        <v>-89273</v>
      </c>
      <c r="O12" s="850">
        <f t="shared" si="0"/>
        <v>6002728</v>
      </c>
      <c r="Q12" s="103">
        <f t="shared" si="1"/>
        <v>2.7186214679270062</v>
      </c>
      <c r="R12" s="103">
        <f t="shared" si="2"/>
        <v>2.7186210000000002</v>
      </c>
      <c r="S12" s="103">
        <v>2.7186210000000002</v>
      </c>
    </row>
    <row r="13" spans="1:19" ht="24.95" customHeight="1" x14ac:dyDescent="0.25">
      <c r="A13" s="848">
        <v>7</v>
      </c>
      <c r="B13" s="849" t="s">
        <v>152</v>
      </c>
      <c r="C13" s="850"/>
      <c r="D13" s="850">
        <v>0</v>
      </c>
      <c r="E13" s="850">
        <v>1004023</v>
      </c>
      <c r="F13" s="850">
        <v>319545</v>
      </c>
      <c r="G13" s="850">
        <v>0</v>
      </c>
      <c r="H13" s="851">
        <v>366547</v>
      </c>
      <c r="I13" s="850">
        <v>202400</v>
      </c>
      <c r="J13" s="850">
        <v>173490</v>
      </c>
      <c r="K13" s="850">
        <v>183263</v>
      </c>
      <c r="L13" s="850">
        <v>201195</v>
      </c>
      <c r="M13" s="850">
        <v>2647</v>
      </c>
      <c r="N13" s="850">
        <v>156938</v>
      </c>
      <c r="O13" s="850">
        <f t="shared" si="0"/>
        <v>2610048</v>
      </c>
      <c r="Q13" s="103">
        <f t="shared" si="1"/>
        <v>1.1820846330401689</v>
      </c>
      <c r="R13" s="103">
        <f t="shared" si="2"/>
        <v>1.1820850000000001</v>
      </c>
      <c r="S13" s="103">
        <v>1.1820850000000001</v>
      </c>
    </row>
    <row r="14" spans="1:19" ht="24.95" customHeight="1" x14ac:dyDescent="0.25">
      <c r="A14" s="848">
        <v>8</v>
      </c>
      <c r="B14" s="849" t="s">
        <v>153</v>
      </c>
      <c r="C14" s="850">
        <v>156628</v>
      </c>
      <c r="D14" s="850">
        <v>1566802</v>
      </c>
      <c r="E14" s="850">
        <v>705283</v>
      </c>
      <c r="F14" s="850">
        <v>352107</v>
      </c>
      <c r="G14" s="850">
        <v>813818</v>
      </c>
      <c r="H14" s="851">
        <v>558753</v>
      </c>
      <c r="I14" s="850">
        <v>34754</v>
      </c>
      <c r="J14" s="850">
        <v>38643</v>
      </c>
      <c r="K14" s="850">
        <v>402993</v>
      </c>
      <c r="L14" s="850">
        <v>33350</v>
      </c>
      <c r="M14" s="850">
        <v>252356</v>
      </c>
      <c r="N14" s="850">
        <v>483858</v>
      </c>
      <c r="O14" s="850">
        <f t="shared" si="0"/>
        <v>5399345</v>
      </c>
      <c r="Q14" s="103">
        <f t="shared" si="1"/>
        <v>2.4453507188305617</v>
      </c>
      <c r="R14" s="103">
        <f t="shared" si="2"/>
        <v>2.4453510000000001</v>
      </c>
      <c r="S14" s="103">
        <v>2.4453510000000001</v>
      </c>
    </row>
    <row r="15" spans="1:19" ht="24.95" customHeight="1" x14ac:dyDescent="0.25">
      <c r="A15" s="848">
        <v>9</v>
      </c>
      <c r="B15" s="849" t="s">
        <v>154</v>
      </c>
      <c r="C15" s="850">
        <v>870200</v>
      </c>
      <c r="D15" s="850">
        <v>503442</v>
      </c>
      <c r="E15" s="850">
        <v>389983</v>
      </c>
      <c r="F15" s="850">
        <v>403139</v>
      </c>
      <c r="G15" s="850">
        <v>353621</v>
      </c>
      <c r="H15" s="851">
        <v>14991</v>
      </c>
      <c r="I15" s="850">
        <v>785786</v>
      </c>
      <c r="J15" s="850">
        <v>747474</v>
      </c>
      <c r="K15" s="850">
        <v>397849</v>
      </c>
      <c r="L15" s="850">
        <v>582593</v>
      </c>
      <c r="M15" s="850">
        <v>812345</v>
      </c>
      <c r="N15" s="850">
        <v>359925</v>
      </c>
      <c r="O15" s="850">
        <f t="shared" si="0"/>
        <v>6221348</v>
      </c>
      <c r="Q15" s="103">
        <f t="shared" si="1"/>
        <v>2.8176339544694917</v>
      </c>
      <c r="R15" s="103">
        <f t="shared" si="2"/>
        <v>2.817634</v>
      </c>
      <c r="S15" s="103">
        <v>2.817634</v>
      </c>
    </row>
    <row r="16" spans="1:19" ht="24.95" customHeight="1" x14ac:dyDescent="0.25">
      <c r="A16" s="848">
        <v>10</v>
      </c>
      <c r="B16" s="849" t="s">
        <v>155</v>
      </c>
      <c r="C16" s="850">
        <v>781131</v>
      </c>
      <c r="D16" s="850">
        <v>421935</v>
      </c>
      <c r="E16" s="850">
        <v>31413</v>
      </c>
      <c r="F16" s="850">
        <v>29089</v>
      </c>
      <c r="G16" s="850">
        <v>308718</v>
      </c>
      <c r="H16" s="851">
        <v>561516</v>
      </c>
      <c r="I16" s="850">
        <v>379302</v>
      </c>
      <c r="J16" s="850">
        <v>196952</v>
      </c>
      <c r="K16" s="850">
        <v>74660</v>
      </c>
      <c r="L16" s="850">
        <v>56358</v>
      </c>
      <c r="M16" s="850">
        <v>834687</v>
      </c>
      <c r="N16" s="850">
        <v>618853</v>
      </c>
      <c r="O16" s="850">
        <f t="shared" si="0"/>
        <v>4294614</v>
      </c>
      <c r="Q16" s="103">
        <f t="shared" si="1"/>
        <v>1.9450206334286464</v>
      </c>
      <c r="R16" s="103">
        <f t="shared" si="2"/>
        <v>1.9450210000000001</v>
      </c>
      <c r="S16" s="103">
        <v>1.9450210000000001</v>
      </c>
    </row>
    <row r="17" spans="1:19" ht="24.95" customHeight="1" x14ac:dyDescent="0.25">
      <c r="A17" s="848">
        <v>11</v>
      </c>
      <c r="B17" s="849" t="s">
        <v>156</v>
      </c>
      <c r="C17" s="850">
        <v>19485</v>
      </c>
      <c r="D17" s="850">
        <v>15311</v>
      </c>
      <c r="E17" s="850">
        <v>413436</v>
      </c>
      <c r="F17" s="850">
        <v>2050553</v>
      </c>
      <c r="G17" s="850">
        <v>987753</v>
      </c>
      <c r="H17" s="851">
        <v>16209</v>
      </c>
      <c r="I17" s="850">
        <v>98522</v>
      </c>
      <c r="J17" s="850">
        <v>-67656</v>
      </c>
      <c r="K17" s="850">
        <v>38042</v>
      </c>
      <c r="L17" s="850">
        <v>16162</v>
      </c>
      <c r="M17" s="850">
        <v>17945</v>
      </c>
      <c r="N17" s="850">
        <v>7773</v>
      </c>
      <c r="O17" s="850">
        <f t="shared" si="0"/>
        <v>3613535</v>
      </c>
      <c r="Q17" s="103">
        <f t="shared" si="1"/>
        <v>1.636561547700581</v>
      </c>
      <c r="R17" s="103">
        <f t="shared" si="2"/>
        <v>1.6365620000000001</v>
      </c>
      <c r="S17" s="103">
        <v>1.6365620000000001</v>
      </c>
    </row>
    <row r="18" spans="1:19" ht="24.95" customHeight="1" x14ac:dyDescent="0.25">
      <c r="A18" s="848">
        <v>12</v>
      </c>
      <c r="B18" s="849" t="s">
        <v>157</v>
      </c>
      <c r="C18" s="850">
        <v>6614</v>
      </c>
      <c r="D18" s="850">
        <v>493274</v>
      </c>
      <c r="E18" s="850">
        <v>1861213</v>
      </c>
      <c r="F18" s="850">
        <v>111826</v>
      </c>
      <c r="G18" s="850">
        <v>993965</v>
      </c>
      <c r="H18" s="851">
        <v>36200</v>
      </c>
      <c r="I18" s="850">
        <v>97121</v>
      </c>
      <c r="J18" s="850">
        <v>8147</v>
      </c>
      <c r="K18" s="850">
        <v>66757</v>
      </c>
      <c r="L18" s="850">
        <v>70358</v>
      </c>
      <c r="M18" s="850">
        <v>96622</v>
      </c>
      <c r="N18" s="850">
        <v>59379</v>
      </c>
      <c r="O18" s="850">
        <f t="shared" si="0"/>
        <v>3901476</v>
      </c>
      <c r="Q18" s="103">
        <f t="shared" si="1"/>
        <v>1.7669693529678479</v>
      </c>
      <c r="R18" s="103">
        <f t="shared" si="2"/>
        <v>1.766969</v>
      </c>
      <c r="S18" s="103">
        <v>1.766969</v>
      </c>
    </row>
    <row r="19" spans="1:19" ht="24.95" customHeight="1" x14ac:dyDescent="0.25">
      <c r="A19" s="848">
        <v>13</v>
      </c>
      <c r="B19" s="852" t="s">
        <v>158</v>
      </c>
      <c r="C19" s="850">
        <v>1576381</v>
      </c>
      <c r="D19" s="850">
        <v>1133830</v>
      </c>
      <c r="E19" s="850">
        <v>989068</v>
      </c>
      <c r="F19" s="850">
        <v>58014</v>
      </c>
      <c r="G19" s="850">
        <v>1291639</v>
      </c>
      <c r="H19" s="851">
        <v>2315866</v>
      </c>
      <c r="I19" s="850">
        <v>1855307</v>
      </c>
      <c r="J19" s="850">
        <v>267467</v>
      </c>
      <c r="K19" s="850">
        <v>725691</v>
      </c>
      <c r="L19" s="850">
        <v>1532284</v>
      </c>
      <c r="M19" s="850">
        <v>738057</v>
      </c>
      <c r="N19" s="850">
        <v>1285789</v>
      </c>
      <c r="O19" s="850">
        <f t="shared" si="0"/>
        <v>13769393</v>
      </c>
      <c r="Q19" s="103">
        <f t="shared" si="1"/>
        <v>6.2361258764554783</v>
      </c>
      <c r="R19" s="103">
        <f t="shared" si="2"/>
        <v>6.2361259999999996</v>
      </c>
      <c r="S19" s="103">
        <v>6.2361259999999996</v>
      </c>
    </row>
    <row r="20" spans="1:19" ht="24.95" customHeight="1" x14ac:dyDescent="0.25">
      <c r="A20" s="848">
        <v>14</v>
      </c>
      <c r="B20" s="849" t="s">
        <v>414</v>
      </c>
      <c r="C20" s="850">
        <v>110295</v>
      </c>
      <c r="D20" s="850">
        <v>179664</v>
      </c>
      <c r="E20" s="850">
        <v>183564</v>
      </c>
      <c r="F20" s="850">
        <v>343154</v>
      </c>
      <c r="G20" s="850">
        <v>243537</v>
      </c>
      <c r="H20" s="851">
        <v>232759</v>
      </c>
      <c r="I20" s="850">
        <v>243888</v>
      </c>
      <c r="J20" s="850">
        <v>211293</v>
      </c>
      <c r="K20" s="850">
        <v>212411</v>
      </c>
      <c r="L20" s="850">
        <v>203771</v>
      </c>
      <c r="M20" s="850">
        <v>305743</v>
      </c>
      <c r="N20" s="850">
        <v>-33201</v>
      </c>
      <c r="O20" s="850">
        <f t="shared" si="0"/>
        <v>2436878</v>
      </c>
      <c r="Q20" s="103">
        <f t="shared" si="1"/>
        <v>1.1036563451682346</v>
      </c>
      <c r="R20" s="103">
        <f t="shared" si="2"/>
        <v>1.103656</v>
      </c>
      <c r="S20" s="103">
        <v>1.103656</v>
      </c>
    </row>
    <row r="21" spans="1:19" ht="24.95" customHeight="1" x14ac:dyDescent="0.25">
      <c r="A21" s="848">
        <v>15</v>
      </c>
      <c r="B21" s="849" t="s">
        <v>415</v>
      </c>
      <c r="C21" s="850">
        <v>384</v>
      </c>
      <c r="D21" s="850">
        <v>1192215</v>
      </c>
      <c r="E21" s="850">
        <v>700938</v>
      </c>
      <c r="F21" s="850">
        <v>377930</v>
      </c>
      <c r="G21" s="850">
        <v>365117</v>
      </c>
      <c r="H21" s="851">
        <v>15079</v>
      </c>
      <c r="I21" s="850">
        <v>10679</v>
      </c>
      <c r="J21" s="850">
        <v>767397</v>
      </c>
      <c r="K21" s="850">
        <v>825605</v>
      </c>
      <c r="L21" s="850">
        <v>362591</v>
      </c>
      <c r="M21" s="850">
        <v>491088</v>
      </c>
      <c r="N21" s="850">
        <v>63486</v>
      </c>
      <c r="O21" s="850">
        <f t="shared" si="0"/>
        <v>5172509</v>
      </c>
      <c r="Q21" s="103">
        <f t="shared" si="1"/>
        <v>2.3426172251092585</v>
      </c>
      <c r="R21" s="103">
        <f t="shared" si="2"/>
        <v>2.3426170000000002</v>
      </c>
      <c r="S21" s="103">
        <v>2.3426170000000002</v>
      </c>
    </row>
    <row r="22" spans="1:19" ht="24.95" customHeight="1" x14ac:dyDescent="0.25">
      <c r="A22" s="848">
        <v>16</v>
      </c>
      <c r="B22" s="849" t="s">
        <v>161</v>
      </c>
      <c r="C22" s="850">
        <v>0</v>
      </c>
      <c r="D22" s="850">
        <v>851648</v>
      </c>
      <c r="E22" s="850">
        <v>1954543</v>
      </c>
      <c r="F22" s="850">
        <v>1936777</v>
      </c>
      <c r="G22" s="850">
        <v>1933228</v>
      </c>
      <c r="H22" s="851">
        <v>4386227</v>
      </c>
      <c r="I22" s="850">
        <v>3122573</v>
      </c>
      <c r="J22" s="850">
        <v>1949995</v>
      </c>
      <c r="K22" s="850">
        <v>2067314</v>
      </c>
      <c r="L22" s="850">
        <v>1095038</v>
      </c>
      <c r="M22" s="850">
        <v>0</v>
      </c>
      <c r="N22" s="850">
        <v>-1140134</v>
      </c>
      <c r="O22" s="850">
        <f t="shared" si="0"/>
        <v>18157209</v>
      </c>
      <c r="Q22" s="103">
        <f t="shared" si="1"/>
        <v>8.2233574776397411</v>
      </c>
      <c r="R22" s="103">
        <f t="shared" si="2"/>
        <v>8.223357</v>
      </c>
      <c r="S22" s="103">
        <v>8.223357</v>
      </c>
    </row>
    <row r="23" spans="1:19" ht="24.95" customHeight="1" x14ac:dyDescent="0.25">
      <c r="A23" s="848">
        <v>17</v>
      </c>
      <c r="B23" s="849" t="s">
        <v>162</v>
      </c>
      <c r="C23" s="850">
        <v>0</v>
      </c>
      <c r="D23" s="850">
        <v>0</v>
      </c>
      <c r="E23" s="850">
        <v>0</v>
      </c>
      <c r="F23" s="850">
        <v>0</v>
      </c>
      <c r="G23" s="850">
        <v>0</v>
      </c>
      <c r="H23" s="851">
        <v>0</v>
      </c>
      <c r="I23" s="850">
        <v>0</v>
      </c>
      <c r="J23" s="850">
        <v>0</v>
      </c>
      <c r="K23" s="850">
        <v>0</v>
      </c>
      <c r="L23" s="850">
        <v>0</v>
      </c>
      <c r="M23" s="850">
        <v>276273</v>
      </c>
      <c r="N23" s="850">
        <v>0</v>
      </c>
      <c r="O23" s="850">
        <f t="shared" si="0"/>
        <v>276273</v>
      </c>
      <c r="Q23" s="103">
        <f t="shared" si="1"/>
        <v>0.12512339536434061</v>
      </c>
      <c r="R23" s="103">
        <f t="shared" si="2"/>
        <v>0.12512300000000001</v>
      </c>
      <c r="S23" s="103">
        <v>0.12512300000000001</v>
      </c>
    </row>
    <row r="24" spans="1:19" ht="24.95" customHeight="1" x14ac:dyDescent="0.25">
      <c r="A24" s="848">
        <v>18</v>
      </c>
      <c r="B24" s="849" t="s">
        <v>163</v>
      </c>
      <c r="C24" s="850">
        <v>873248</v>
      </c>
      <c r="D24" s="850">
        <v>10028299</v>
      </c>
      <c r="E24" s="850">
        <v>8789447</v>
      </c>
      <c r="F24" s="850">
        <v>3045063</v>
      </c>
      <c r="G24" s="850">
        <v>5682849</v>
      </c>
      <c r="H24" s="851">
        <v>908516</v>
      </c>
      <c r="I24" s="850">
        <v>1443340</v>
      </c>
      <c r="J24" s="850">
        <v>807122</v>
      </c>
      <c r="K24" s="850">
        <v>1007152</v>
      </c>
      <c r="L24" s="850">
        <v>3845245</v>
      </c>
      <c r="M24" s="850">
        <v>22569452</v>
      </c>
      <c r="N24" s="850">
        <v>739083</v>
      </c>
      <c r="O24" s="850">
        <f t="shared" si="0"/>
        <v>59738816</v>
      </c>
      <c r="Q24" s="103">
        <f t="shared" si="1"/>
        <v>27.055570008526342</v>
      </c>
      <c r="R24" s="103">
        <f t="shared" si="2"/>
        <v>27.055569999999999</v>
      </c>
      <c r="S24" s="103">
        <v>27.055569999999999</v>
      </c>
    </row>
    <row r="25" spans="1:19" ht="24.95" customHeight="1" x14ac:dyDescent="0.25">
      <c r="A25" s="848">
        <v>19</v>
      </c>
      <c r="B25" s="849" t="s">
        <v>164</v>
      </c>
      <c r="C25" s="850">
        <v>1415063</v>
      </c>
      <c r="D25" s="850">
        <v>36667</v>
      </c>
      <c r="E25" s="850">
        <v>0</v>
      </c>
      <c r="F25" s="850">
        <v>-4712</v>
      </c>
      <c r="G25" s="850">
        <v>2322187</v>
      </c>
      <c r="H25" s="851">
        <v>38059</v>
      </c>
      <c r="I25" s="850">
        <v>1201784</v>
      </c>
      <c r="J25" s="850">
        <v>24893</v>
      </c>
      <c r="K25" s="850">
        <v>1235161</v>
      </c>
      <c r="L25" s="850">
        <v>582700</v>
      </c>
      <c r="M25" s="850">
        <v>703223</v>
      </c>
      <c r="N25" s="850">
        <v>-21789</v>
      </c>
      <c r="O25" s="850">
        <f t="shared" si="0"/>
        <v>7533236</v>
      </c>
      <c r="Q25" s="103">
        <f t="shared" si="1"/>
        <v>3.411784960531373</v>
      </c>
      <c r="R25" s="103">
        <f t="shared" si="2"/>
        <v>3.4117850000000001</v>
      </c>
      <c r="S25" s="103">
        <v>3.4117850000000001</v>
      </c>
    </row>
    <row r="26" spans="1:19" ht="24.95" customHeight="1" x14ac:dyDescent="0.25">
      <c r="A26" s="848">
        <v>20</v>
      </c>
      <c r="B26" s="849" t="s">
        <v>165</v>
      </c>
      <c r="C26" s="850">
        <v>785700</v>
      </c>
      <c r="D26" s="850">
        <v>1692154</v>
      </c>
      <c r="E26" s="850">
        <v>1761479</v>
      </c>
      <c r="F26" s="850">
        <v>1592806</v>
      </c>
      <c r="G26" s="850">
        <v>1926927</v>
      </c>
      <c r="H26" s="851">
        <v>548923</v>
      </c>
      <c r="I26" s="850">
        <v>903277</v>
      </c>
      <c r="J26" s="850">
        <v>1109424</v>
      </c>
      <c r="K26" s="850">
        <v>1504520</v>
      </c>
      <c r="L26" s="850">
        <v>1005665</v>
      </c>
      <c r="M26" s="850">
        <v>968352</v>
      </c>
      <c r="N26" s="850">
        <v>824070</v>
      </c>
      <c r="O26" s="850">
        <f t="shared" si="0"/>
        <v>14623297</v>
      </c>
      <c r="Q26" s="103">
        <f t="shared" si="1"/>
        <v>6.6228570003625986</v>
      </c>
      <c r="R26" s="103">
        <f t="shared" si="2"/>
        <v>6.6228569999999998</v>
      </c>
      <c r="S26" s="103">
        <v>6.6228569999999998</v>
      </c>
    </row>
    <row r="27" spans="1:19" ht="24.95" customHeight="1" x14ac:dyDescent="0.25">
      <c r="A27" s="1264" t="s">
        <v>168</v>
      </c>
      <c r="B27" s="1265"/>
      <c r="C27" s="853">
        <f>SUM(C7:C26)</f>
        <v>12394409</v>
      </c>
      <c r="D27" s="853">
        <f t="shared" ref="D27:O27" si="3">SUM(D7:D26)</f>
        <v>25823878</v>
      </c>
      <c r="E27" s="853">
        <f t="shared" si="3"/>
        <v>24131798</v>
      </c>
      <c r="F27" s="853">
        <f t="shared" si="3"/>
        <v>19368278</v>
      </c>
      <c r="G27" s="853">
        <f t="shared" si="3"/>
        <v>24581311</v>
      </c>
      <c r="H27" s="853">
        <f t="shared" si="3"/>
        <v>13599575</v>
      </c>
      <c r="I27" s="853">
        <f t="shared" si="3"/>
        <v>15359405</v>
      </c>
      <c r="J27" s="853">
        <f t="shared" si="3"/>
        <v>11070206</v>
      </c>
      <c r="K27" s="853">
        <f t="shared" si="3"/>
        <v>14502012</v>
      </c>
      <c r="L27" s="853">
        <f t="shared" si="3"/>
        <v>13993660</v>
      </c>
      <c r="M27" s="853">
        <f t="shared" si="3"/>
        <v>37877974</v>
      </c>
      <c r="N27" s="853">
        <f t="shared" si="3"/>
        <v>8097928</v>
      </c>
      <c r="O27" s="854">
        <f t="shared" si="3"/>
        <v>220800434</v>
      </c>
      <c r="Q27" s="103">
        <f>SUM(Q7:Q26)</f>
        <v>100.00000000000001</v>
      </c>
      <c r="R27" s="103">
        <f t="shared" ref="R27:S27" si="4">SUM(R7:R26)</f>
        <v>99.999999999999986</v>
      </c>
      <c r="S27" s="103">
        <f t="shared" si="4"/>
        <v>99.999999999999986</v>
      </c>
    </row>
    <row r="28" spans="1:19" x14ac:dyDescent="0.25">
      <c r="H28" s="855"/>
    </row>
    <row r="29" spans="1:19" x14ac:dyDescent="0.25">
      <c r="H29" s="104"/>
    </row>
  </sheetData>
  <mergeCells count="17">
    <mergeCell ref="A27:B27"/>
    <mergeCell ref="K4:K6"/>
    <mergeCell ref="L4:L6"/>
    <mergeCell ref="M4:M6"/>
    <mergeCell ref="N4:N6"/>
    <mergeCell ref="O4:O6"/>
    <mergeCell ref="Q4:Q6"/>
    <mergeCell ref="A1:O2"/>
    <mergeCell ref="B4:B6"/>
    <mergeCell ref="C4:C6"/>
    <mergeCell ref="D4:D6"/>
    <mergeCell ref="E4:E6"/>
    <mergeCell ref="F4:F6"/>
    <mergeCell ref="G4:G6"/>
    <mergeCell ref="H4:H6"/>
    <mergeCell ref="I4:I6"/>
    <mergeCell ref="J4:J6"/>
  </mergeCells>
  <pageMargins left="0.70866141732283472" right="0.70866141732283472" top="0.74803149606299213" bottom="0.74803149606299213" header="0.31496062992125984" footer="0.31496062992125984"/>
  <pageSetup scale="5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R29"/>
  <sheetViews>
    <sheetView zoomScaleNormal="100" workbookViewId="0">
      <selection activeCell="R7" sqref="R7"/>
    </sheetView>
  </sheetViews>
  <sheetFormatPr baseColWidth="10" defaultRowHeight="15" x14ac:dyDescent="0.25"/>
  <cols>
    <col min="1" max="1" width="3.7109375" customWidth="1"/>
    <col min="2" max="2" width="18.5703125" customWidth="1"/>
    <col min="3" max="15" width="13.28515625" customWidth="1"/>
    <col min="16" max="16" width="14.28515625" customWidth="1"/>
  </cols>
  <sheetData>
    <row r="1" spans="1:18" x14ac:dyDescent="0.25">
      <c r="A1" s="1260" t="s">
        <v>416</v>
      </c>
      <c r="B1" s="1260"/>
      <c r="C1" s="1260"/>
      <c r="D1" s="1260"/>
      <c r="E1" s="1260"/>
      <c r="F1" s="1260"/>
      <c r="G1" s="1260"/>
      <c r="H1" s="1260"/>
      <c r="I1" s="1260"/>
      <c r="J1" s="1260"/>
      <c r="K1" s="1260"/>
      <c r="L1" s="1260"/>
      <c r="M1" s="1260"/>
      <c r="N1" s="1260"/>
      <c r="O1" s="1260"/>
      <c r="P1" s="1260"/>
    </row>
    <row r="2" spans="1:18" x14ac:dyDescent="0.25">
      <c r="A2" s="1260"/>
      <c r="B2" s="1260"/>
      <c r="C2" s="1260"/>
      <c r="D2" s="1260"/>
      <c r="E2" s="1260"/>
      <c r="F2" s="1260"/>
      <c r="G2" s="1260"/>
      <c r="H2" s="1260"/>
      <c r="I2" s="1260"/>
      <c r="J2" s="1260"/>
      <c r="K2" s="1260"/>
      <c r="L2" s="1260"/>
      <c r="M2" s="1260"/>
      <c r="N2" s="1260"/>
      <c r="O2" s="1260"/>
      <c r="P2" s="1260"/>
    </row>
    <row r="4" spans="1:18" ht="15.75" customHeight="1" x14ac:dyDescent="0.25">
      <c r="A4" s="845" t="s">
        <v>409</v>
      </c>
      <c r="B4" s="1261" t="s">
        <v>343</v>
      </c>
      <c r="C4" s="1258" t="s">
        <v>1</v>
      </c>
      <c r="D4" s="1258" t="s">
        <v>2</v>
      </c>
      <c r="E4" s="1258" t="s">
        <v>3</v>
      </c>
      <c r="F4" s="1266" t="s">
        <v>417</v>
      </c>
      <c r="G4" s="1258" t="s">
        <v>4</v>
      </c>
      <c r="H4" s="1269" t="s">
        <v>5</v>
      </c>
      <c r="I4" s="1258" t="s">
        <v>6</v>
      </c>
      <c r="J4" s="1258" t="s">
        <v>7</v>
      </c>
      <c r="K4" s="1258" t="s">
        <v>8</v>
      </c>
      <c r="L4" s="1258" t="s">
        <v>9</v>
      </c>
      <c r="M4" s="1258" t="s">
        <v>10</v>
      </c>
      <c r="N4" s="1258" t="s">
        <v>11</v>
      </c>
      <c r="O4" s="1258" t="s">
        <v>12</v>
      </c>
      <c r="P4" s="1258" t="s">
        <v>168</v>
      </c>
      <c r="R4" s="1259"/>
    </row>
    <row r="5" spans="1:18" ht="15.75" customHeight="1" x14ac:dyDescent="0.25">
      <c r="A5" s="846" t="s">
        <v>411</v>
      </c>
      <c r="B5" s="1262"/>
      <c r="C5" s="1258"/>
      <c r="D5" s="1258"/>
      <c r="E5" s="1258"/>
      <c r="F5" s="1267"/>
      <c r="G5" s="1258"/>
      <c r="H5" s="1270"/>
      <c r="I5" s="1258"/>
      <c r="J5" s="1258"/>
      <c r="K5" s="1258"/>
      <c r="L5" s="1258"/>
      <c r="M5" s="1258"/>
      <c r="N5" s="1258"/>
      <c r="O5" s="1258"/>
      <c r="P5" s="1258"/>
      <c r="R5" s="1259"/>
    </row>
    <row r="6" spans="1:18" ht="15.75" customHeight="1" x14ac:dyDescent="0.25">
      <c r="A6" s="847" t="s">
        <v>412</v>
      </c>
      <c r="B6" s="1263"/>
      <c r="C6" s="1258"/>
      <c r="D6" s="1258"/>
      <c r="E6" s="1258"/>
      <c r="F6" s="1268"/>
      <c r="G6" s="1258"/>
      <c r="H6" s="1271"/>
      <c r="I6" s="1258"/>
      <c r="J6" s="1258"/>
      <c r="K6" s="1258"/>
      <c r="L6" s="1258"/>
      <c r="M6" s="1258"/>
      <c r="N6" s="1258"/>
      <c r="O6" s="1258"/>
      <c r="P6" s="1258"/>
      <c r="R6" s="1259"/>
    </row>
    <row r="7" spans="1:18" ht="24.95" customHeight="1" x14ac:dyDescent="0.25">
      <c r="A7" s="848">
        <v>1</v>
      </c>
      <c r="B7" s="849" t="s">
        <v>282</v>
      </c>
      <c r="C7" s="850">
        <v>230889.95</v>
      </c>
      <c r="D7" s="850">
        <v>44459.15</v>
      </c>
      <c r="E7" s="850">
        <v>31816.67</v>
      </c>
      <c r="F7" s="850">
        <v>-185687.83275438202</v>
      </c>
      <c r="G7" s="850">
        <v>99054.54</v>
      </c>
      <c r="H7" s="850">
        <v>284794.21999999997</v>
      </c>
      <c r="I7" s="851">
        <v>142921.01999999999</v>
      </c>
      <c r="J7" s="850">
        <v>141448.73000000001</v>
      </c>
      <c r="K7" s="850">
        <v>97957.92</v>
      </c>
      <c r="L7" s="850">
        <v>84986.77</v>
      </c>
      <c r="M7" s="850">
        <v>75215.03</v>
      </c>
      <c r="N7" s="850">
        <v>94789.84</v>
      </c>
      <c r="O7" s="850">
        <v>96318.09</v>
      </c>
      <c r="P7" s="850">
        <f t="shared" ref="P7:P26" si="0">SUM(C7:O7)</f>
        <v>1238964.0972456182</v>
      </c>
      <c r="R7" s="59">
        <f>P7/$P$27*100</f>
        <v>3.6956981722928051</v>
      </c>
    </row>
    <row r="8" spans="1:18" ht="24.95" customHeight="1" x14ac:dyDescent="0.25">
      <c r="A8" s="848">
        <v>2</v>
      </c>
      <c r="B8" s="849" t="s">
        <v>147</v>
      </c>
      <c r="C8" s="850">
        <v>159066.10999999999</v>
      </c>
      <c r="D8" s="850">
        <v>30714.560000000001</v>
      </c>
      <c r="E8" s="850">
        <v>21980.51</v>
      </c>
      <c r="F8" s="850">
        <v>-128282.24603563</v>
      </c>
      <c r="G8" s="850">
        <v>68431.73</v>
      </c>
      <c r="H8" s="850">
        <v>196749.79</v>
      </c>
      <c r="I8" s="851">
        <v>98736.84</v>
      </c>
      <c r="J8" s="850">
        <v>97719.71</v>
      </c>
      <c r="K8" s="850">
        <v>67674.13</v>
      </c>
      <c r="L8" s="850">
        <v>58713.02</v>
      </c>
      <c r="M8" s="850">
        <v>51962.23</v>
      </c>
      <c r="N8" s="850">
        <v>65485.46</v>
      </c>
      <c r="O8" s="850">
        <v>66541.25</v>
      </c>
      <c r="P8" s="850">
        <f t="shared" si="0"/>
        <v>855493.09396436985</v>
      </c>
      <c r="R8" s="59">
        <f t="shared" ref="R8:R26" si="1">P8/$P$27*100</f>
        <v>2.5518449411100721</v>
      </c>
    </row>
    <row r="9" spans="1:18" ht="24.95" customHeight="1" x14ac:dyDescent="0.25">
      <c r="A9" s="848">
        <v>3</v>
      </c>
      <c r="B9" s="849" t="s">
        <v>148</v>
      </c>
      <c r="C9" s="850">
        <v>163443.22</v>
      </c>
      <c r="D9" s="850">
        <v>31697.66</v>
      </c>
      <c r="E9" s="850">
        <v>22684.06</v>
      </c>
      <c r="F9" s="850">
        <v>-132388.28906797199</v>
      </c>
      <c r="G9" s="850">
        <v>70622.080000000002</v>
      </c>
      <c r="H9" s="850">
        <v>203047.33</v>
      </c>
      <c r="I9" s="851">
        <v>101897.19</v>
      </c>
      <c r="J9" s="850">
        <v>100847.51</v>
      </c>
      <c r="K9" s="850">
        <v>69840.23</v>
      </c>
      <c r="L9" s="850">
        <v>60592.3</v>
      </c>
      <c r="M9" s="850">
        <v>53625.43</v>
      </c>
      <c r="N9" s="850">
        <v>67581.509999999995</v>
      </c>
      <c r="O9" s="850">
        <v>68671.100000000006</v>
      </c>
      <c r="P9" s="850">
        <f t="shared" si="0"/>
        <v>882161.33093202801</v>
      </c>
      <c r="R9" s="59">
        <f t="shared" si="1"/>
        <v>2.6313934565503119</v>
      </c>
    </row>
    <row r="10" spans="1:18" ht="24.95" customHeight="1" x14ac:dyDescent="0.25">
      <c r="A10" s="848">
        <v>4</v>
      </c>
      <c r="B10" s="849" t="s">
        <v>413</v>
      </c>
      <c r="C10" s="850">
        <v>573767.36</v>
      </c>
      <c r="D10" s="850">
        <v>130614.07</v>
      </c>
      <c r="E10" s="850">
        <v>93472.44</v>
      </c>
      <c r="F10" s="850">
        <v>-545522.00401815202</v>
      </c>
      <c r="G10" s="850">
        <v>291006.86</v>
      </c>
      <c r="H10" s="850">
        <v>836681.16</v>
      </c>
      <c r="I10" s="851">
        <v>419879.74</v>
      </c>
      <c r="J10" s="850">
        <v>415554.41</v>
      </c>
      <c r="K10" s="850">
        <v>287785.15000000002</v>
      </c>
      <c r="L10" s="850">
        <v>249677.94</v>
      </c>
      <c r="M10" s="850">
        <v>220970.08</v>
      </c>
      <c r="N10" s="850">
        <v>278477.83</v>
      </c>
      <c r="O10" s="850">
        <v>282967.59000000003</v>
      </c>
      <c r="P10" s="850">
        <f t="shared" si="0"/>
        <v>3535332.6259818478</v>
      </c>
      <c r="R10" s="59">
        <f t="shared" si="1"/>
        <v>10.545521337813282</v>
      </c>
    </row>
    <row r="11" spans="1:18" ht="24.95" customHeight="1" x14ac:dyDescent="0.25">
      <c r="A11" s="848">
        <v>5</v>
      </c>
      <c r="B11" s="849" t="s">
        <v>150</v>
      </c>
      <c r="C11" s="850">
        <v>447901.68</v>
      </c>
      <c r="D11" s="850">
        <v>87298.34</v>
      </c>
      <c r="E11" s="850">
        <v>62474.04</v>
      </c>
      <c r="F11" s="850">
        <v>-364609.77929653198</v>
      </c>
      <c r="G11" s="850">
        <v>194499.85</v>
      </c>
      <c r="H11" s="850">
        <v>559211.42000000004</v>
      </c>
      <c r="I11" s="851">
        <v>280634.44</v>
      </c>
      <c r="J11" s="850">
        <v>277743.52</v>
      </c>
      <c r="K11" s="850">
        <v>192346.56</v>
      </c>
      <c r="L11" s="850">
        <v>166876.9</v>
      </c>
      <c r="M11" s="850">
        <v>147689.47</v>
      </c>
      <c r="N11" s="850">
        <v>186125.84</v>
      </c>
      <c r="O11" s="850">
        <v>189126.65</v>
      </c>
      <c r="P11" s="850">
        <f t="shared" si="0"/>
        <v>2427318.9307034682</v>
      </c>
      <c r="R11" s="59">
        <f t="shared" si="1"/>
        <v>7.2404342916113968</v>
      </c>
    </row>
    <row r="12" spans="1:18" ht="24.95" customHeight="1" x14ac:dyDescent="0.25">
      <c r="A12" s="848">
        <v>6</v>
      </c>
      <c r="B12" s="849" t="s">
        <v>284</v>
      </c>
      <c r="C12" s="850">
        <v>230011.54</v>
      </c>
      <c r="D12" s="850">
        <v>46786.51</v>
      </c>
      <c r="E12" s="850">
        <v>33482.22</v>
      </c>
      <c r="F12" s="850">
        <v>-195408.28175218997</v>
      </c>
      <c r="G12" s="850">
        <v>104239.88</v>
      </c>
      <c r="H12" s="850">
        <v>299702.71999999997</v>
      </c>
      <c r="I12" s="851">
        <v>150402.69</v>
      </c>
      <c r="J12" s="850">
        <v>148853.34</v>
      </c>
      <c r="K12" s="850">
        <v>103085.86</v>
      </c>
      <c r="L12" s="850">
        <v>89435.69</v>
      </c>
      <c r="M12" s="850">
        <v>79152.42</v>
      </c>
      <c r="N12" s="850">
        <v>99751.93</v>
      </c>
      <c r="O12" s="850">
        <v>101360.18</v>
      </c>
      <c r="P12" s="850">
        <f t="shared" si="0"/>
        <v>1290856.6982478097</v>
      </c>
      <c r="R12" s="59">
        <f t="shared" si="1"/>
        <v>3.8504882837299879</v>
      </c>
    </row>
    <row r="13" spans="1:18" ht="24.95" customHeight="1" x14ac:dyDescent="0.25">
      <c r="A13" s="848">
        <v>7</v>
      </c>
      <c r="B13" s="849" t="s">
        <v>152</v>
      </c>
      <c r="C13" s="850">
        <v>173986.17</v>
      </c>
      <c r="D13" s="850">
        <v>33710.79</v>
      </c>
      <c r="E13" s="850">
        <v>24124.73</v>
      </c>
      <c r="F13" s="850">
        <v>-140796.29984227399</v>
      </c>
      <c r="G13" s="850">
        <v>75107.31</v>
      </c>
      <c r="H13" s="850">
        <v>215942.91</v>
      </c>
      <c r="I13" s="851">
        <v>108368.71</v>
      </c>
      <c r="J13" s="850">
        <v>107252.36</v>
      </c>
      <c r="K13" s="850">
        <v>74275.8</v>
      </c>
      <c r="L13" s="850">
        <v>64440.54</v>
      </c>
      <c r="M13" s="850">
        <v>57031.19</v>
      </c>
      <c r="N13" s="850">
        <v>71873.63</v>
      </c>
      <c r="O13" s="850">
        <v>73032.41</v>
      </c>
      <c r="P13" s="850">
        <f t="shared" si="0"/>
        <v>938350.25015772623</v>
      </c>
      <c r="R13" s="59">
        <f t="shared" si="1"/>
        <v>2.7989990284528155</v>
      </c>
    </row>
    <row r="14" spans="1:18" ht="24.95" customHeight="1" x14ac:dyDescent="0.25">
      <c r="A14" s="848">
        <v>8</v>
      </c>
      <c r="B14" s="849" t="s">
        <v>153</v>
      </c>
      <c r="C14" s="850">
        <v>210330.92</v>
      </c>
      <c r="D14" s="850">
        <v>40590.620000000003</v>
      </c>
      <c r="E14" s="850">
        <v>29048.21</v>
      </c>
      <c r="F14" s="850">
        <v>-169530.57839835397</v>
      </c>
      <c r="G14" s="850">
        <v>90435.51</v>
      </c>
      <c r="H14" s="850">
        <v>260013.42</v>
      </c>
      <c r="I14" s="851">
        <v>130485.03</v>
      </c>
      <c r="J14" s="850">
        <v>129140.86</v>
      </c>
      <c r="K14" s="850">
        <v>89434.31</v>
      </c>
      <c r="L14" s="850">
        <v>77591.820000000007</v>
      </c>
      <c r="M14" s="850">
        <v>68670.350000000006</v>
      </c>
      <c r="N14" s="850">
        <v>86541.89</v>
      </c>
      <c r="O14" s="850">
        <v>87937.16</v>
      </c>
      <c r="P14" s="850">
        <f t="shared" si="0"/>
        <v>1130689.521601646</v>
      </c>
      <c r="R14" s="59">
        <f t="shared" si="1"/>
        <v>3.3727266251730823</v>
      </c>
    </row>
    <row r="15" spans="1:18" ht="24.95" customHeight="1" x14ac:dyDescent="0.25">
      <c r="A15" s="848">
        <v>9</v>
      </c>
      <c r="B15" s="849" t="s">
        <v>154</v>
      </c>
      <c r="C15" s="850">
        <v>199578.75</v>
      </c>
      <c r="D15" s="850">
        <v>39127.22</v>
      </c>
      <c r="E15" s="850">
        <v>28000.94</v>
      </c>
      <c r="F15" s="850">
        <v>-163418.51458818998</v>
      </c>
      <c r="G15" s="850">
        <v>87175.05</v>
      </c>
      <c r="H15" s="850">
        <v>250639.19</v>
      </c>
      <c r="I15" s="851">
        <v>125780.67</v>
      </c>
      <c r="J15" s="850">
        <v>124484.96</v>
      </c>
      <c r="K15" s="850">
        <v>86209.95</v>
      </c>
      <c r="L15" s="850">
        <v>74794.41</v>
      </c>
      <c r="M15" s="850">
        <v>66194.59</v>
      </c>
      <c r="N15" s="850">
        <v>83421.81</v>
      </c>
      <c r="O15" s="850">
        <v>84766.78</v>
      </c>
      <c r="P15" s="850">
        <f t="shared" si="0"/>
        <v>1086755.8054118101</v>
      </c>
      <c r="R15" s="59">
        <f t="shared" si="1"/>
        <v>3.2416770209224279</v>
      </c>
    </row>
    <row r="16" spans="1:18" ht="24.95" customHeight="1" x14ac:dyDescent="0.25">
      <c r="A16" s="848">
        <v>10</v>
      </c>
      <c r="B16" s="849" t="s">
        <v>155</v>
      </c>
      <c r="C16" s="850">
        <v>148183.26</v>
      </c>
      <c r="D16" s="850">
        <v>29075.99</v>
      </c>
      <c r="E16" s="850">
        <v>20807.89</v>
      </c>
      <c r="F16" s="850">
        <v>-121438.605515512</v>
      </c>
      <c r="G16" s="850">
        <v>64781.01</v>
      </c>
      <c r="H16" s="850">
        <v>186253.52</v>
      </c>
      <c r="I16" s="851">
        <v>93469.39</v>
      </c>
      <c r="J16" s="850">
        <v>92506.53</v>
      </c>
      <c r="K16" s="850">
        <v>64063.83</v>
      </c>
      <c r="L16" s="850">
        <v>55580.78</v>
      </c>
      <c r="M16" s="850">
        <v>49190.13</v>
      </c>
      <c r="N16" s="850">
        <v>61991.92</v>
      </c>
      <c r="O16" s="850">
        <v>62991.39</v>
      </c>
      <c r="P16" s="850">
        <f t="shared" si="0"/>
        <v>807457.03448448807</v>
      </c>
      <c r="R16" s="59">
        <f t="shared" si="1"/>
        <v>2.4085584829967073</v>
      </c>
    </row>
    <row r="17" spans="1:18" ht="24.95" customHeight="1" x14ac:dyDescent="0.25">
      <c r="A17" s="848">
        <v>11</v>
      </c>
      <c r="B17" s="849" t="s">
        <v>156</v>
      </c>
      <c r="C17" s="850">
        <v>226746.16</v>
      </c>
      <c r="D17" s="850">
        <v>43596.37</v>
      </c>
      <c r="E17" s="850">
        <v>31199.23</v>
      </c>
      <c r="F17" s="850">
        <v>-182084.3419002</v>
      </c>
      <c r="G17" s="850">
        <v>97132.27</v>
      </c>
      <c r="H17" s="850">
        <v>279267.45</v>
      </c>
      <c r="I17" s="851">
        <v>140147.47</v>
      </c>
      <c r="J17" s="850">
        <v>138703.76</v>
      </c>
      <c r="K17" s="850">
        <v>96056.93</v>
      </c>
      <c r="L17" s="850">
        <v>83337.509999999995</v>
      </c>
      <c r="M17" s="850">
        <v>73755.399999999994</v>
      </c>
      <c r="N17" s="850">
        <v>92950.33</v>
      </c>
      <c r="O17" s="850">
        <v>94448.92</v>
      </c>
      <c r="P17" s="850">
        <f t="shared" si="0"/>
        <v>1215257.4580997999</v>
      </c>
      <c r="R17" s="59">
        <f t="shared" si="1"/>
        <v>3.6249837882705553</v>
      </c>
    </row>
    <row r="18" spans="1:18" ht="24.95" customHeight="1" x14ac:dyDescent="0.25">
      <c r="A18" s="848">
        <v>12</v>
      </c>
      <c r="B18" s="849" t="s">
        <v>157</v>
      </c>
      <c r="C18" s="850">
        <v>216643.25</v>
      </c>
      <c r="D18" s="850">
        <v>41672.46</v>
      </c>
      <c r="E18" s="850">
        <v>29822.41</v>
      </c>
      <c r="F18" s="850">
        <v>-174048.95641060799</v>
      </c>
      <c r="G18" s="850">
        <v>92845.83</v>
      </c>
      <c r="H18" s="850">
        <v>266943.37</v>
      </c>
      <c r="I18" s="851">
        <v>133962.76</v>
      </c>
      <c r="J18" s="850">
        <v>132582.76</v>
      </c>
      <c r="K18" s="850">
        <v>91817.94</v>
      </c>
      <c r="L18" s="850">
        <v>79659.820000000007</v>
      </c>
      <c r="M18" s="850">
        <v>70500.570000000007</v>
      </c>
      <c r="N18" s="850">
        <v>88848.43</v>
      </c>
      <c r="O18" s="850">
        <v>90280.89</v>
      </c>
      <c r="P18" s="850">
        <f t="shared" si="0"/>
        <v>1161531.533589392</v>
      </c>
      <c r="R18" s="59">
        <f t="shared" si="1"/>
        <v>3.4647250677319463</v>
      </c>
    </row>
    <row r="19" spans="1:18" ht="24.95" customHeight="1" x14ac:dyDescent="0.25">
      <c r="A19" s="848">
        <v>13</v>
      </c>
      <c r="B19" s="852" t="s">
        <v>158</v>
      </c>
      <c r="C19" s="850">
        <v>231510.39</v>
      </c>
      <c r="D19" s="850">
        <v>43220.03</v>
      </c>
      <c r="E19" s="850">
        <v>30929.91</v>
      </c>
      <c r="F19" s="850">
        <v>-180512.55446025397</v>
      </c>
      <c r="G19" s="850">
        <v>96293.81</v>
      </c>
      <c r="H19" s="850">
        <v>276856.76</v>
      </c>
      <c r="I19" s="851">
        <v>138937.69</v>
      </c>
      <c r="J19" s="850">
        <v>137506.44</v>
      </c>
      <c r="K19" s="850">
        <v>95227.75</v>
      </c>
      <c r="L19" s="850">
        <v>82618.12</v>
      </c>
      <c r="M19" s="850">
        <v>73118.73</v>
      </c>
      <c r="N19" s="850">
        <v>92147.97</v>
      </c>
      <c r="O19" s="850">
        <v>93633.62</v>
      </c>
      <c r="P19" s="850">
        <f t="shared" si="0"/>
        <v>1211488.6655397462</v>
      </c>
      <c r="R19" s="59">
        <f t="shared" si="1"/>
        <v>3.6137418807714554</v>
      </c>
    </row>
    <row r="20" spans="1:18" ht="24.95" customHeight="1" x14ac:dyDescent="0.25">
      <c r="A20" s="848">
        <v>14</v>
      </c>
      <c r="B20" s="849" t="s">
        <v>414</v>
      </c>
      <c r="C20" s="850">
        <v>167189.59</v>
      </c>
      <c r="D20" s="850">
        <v>32690.11</v>
      </c>
      <c r="E20" s="850">
        <v>23394.3</v>
      </c>
      <c r="F20" s="850">
        <v>-136533.33539687199</v>
      </c>
      <c r="G20" s="850">
        <v>72833.240000000005</v>
      </c>
      <c r="H20" s="850">
        <v>209404.7</v>
      </c>
      <c r="I20" s="851">
        <v>105087.57</v>
      </c>
      <c r="J20" s="850">
        <v>104005.02</v>
      </c>
      <c r="K20" s="850">
        <v>72026.91</v>
      </c>
      <c r="L20" s="850">
        <v>62489.440000000002</v>
      </c>
      <c r="M20" s="850">
        <v>55304.43</v>
      </c>
      <c r="N20" s="850">
        <v>69697.48</v>
      </c>
      <c r="O20" s="850">
        <v>70821.17</v>
      </c>
      <c r="P20" s="850">
        <f t="shared" si="0"/>
        <v>908410.62460312806</v>
      </c>
      <c r="R20" s="59">
        <f t="shared" si="1"/>
        <v>2.7096923086800278</v>
      </c>
    </row>
    <row r="21" spans="1:18" ht="24.95" customHeight="1" x14ac:dyDescent="0.25">
      <c r="A21" s="848">
        <v>15</v>
      </c>
      <c r="B21" s="849" t="s">
        <v>415</v>
      </c>
      <c r="C21" s="850">
        <v>169511.74</v>
      </c>
      <c r="D21" s="850">
        <v>33353.769999999997</v>
      </c>
      <c r="E21" s="850">
        <v>23869.24</v>
      </c>
      <c r="F21" s="850">
        <v>-139305.19321888199</v>
      </c>
      <c r="G21" s="850">
        <v>74311.88</v>
      </c>
      <c r="H21" s="850">
        <v>213655.97</v>
      </c>
      <c r="I21" s="851">
        <v>107221.03</v>
      </c>
      <c r="J21" s="850">
        <v>106116.5</v>
      </c>
      <c r="K21" s="850">
        <v>73489.179999999993</v>
      </c>
      <c r="L21" s="850">
        <v>63758.080000000002</v>
      </c>
      <c r="M21" s="850">
        <v>56427.199999999997</v>
      </c>
      <c r="N21" s="850">
        <v>71112.45</v>
      </c>
      <c r="O21" s="850">
        <v>72258.960000000006</v>
      </c>
      <c r="P21" s="850">
        <f t="shared" si="0"/>
        <v>925780.80678111792</v>
      </c>
      <c r="R21" s="59">
        <f t="shared" si="1"/>
        <v>2.7615057152753471</v>
      </c>
    </row>
    <row r="22" spans="1:18" ht="24.95" customHeight="1" x14ac:dyDescent="0.25">
      <c r="A22" s="848">
        <v>16</v>
      </c>
      <c r="B22" s="849" t="s">
        <v>161</v>
      </c>
      <c r="C22" s="850">
        <v>414160.22</v>
      </c>
      <c r="D22" s="850">
        <v>76813.320000000007</v>
      </c>
      <c r="E22" s="850">
        <v>54970.559999999998</v>
      </c>
      <c r="F22" s="850">
        <v>-320818.10907313199</v>
      </c>
      <c r="G22" s="850">
        <v>171139.33</v>
      </c>
      <c r="H22" s="850">
        <v>492047</v>
      </c>
      <c r="I22" s="851">
        <v>246928.67</v>
      </c>
      <c r="J22" s="850">
        <v>244384.97</v>
      </c>
      <c r="K22" s="850">
        <v>169244.66</v>
      </c>
      <c r="L22" s="850">
        <v>146834.04999999999</v>
      </c>
      <c r="M22" s="850">
        <v>129951.14</v>
      </c>
      <c r="N22" s="850">
        <v>163771.07999999999</v>
      </c>
      <c r="O22" s="850">
        <v>166411.48000000001</v>
      </c>
      <c r="P22" s="850">
        <f t="shared" si="0"/>
        <v>2155838.3709268682</v>
      </c>
      <c r="R22" s="59">
        <f t="shared" si="1"/>
        <v>6.4306366462963309</v>
      </c>
    </row>
    <row r="23" spans="1:18" ht="24.95" customHeight="1" x14ac:dyDescent="0.25">
      <c r="A23" s="848">
        <v>17</v>
      </c>
      <c r="B23" s="849" t="s">
        <v>162</v>
      </c>
      <c r="C23" s="850">
        <v>246212.34</v>
      </c>
      <c r="D23" s="850">
        <v>46110.35</v>
      </c>
      <c r="E23" s="850">
        <v>32998.339999999997</v>
      </c>
      <c r="F23" s="850">
        <v>-192584.251344616</v>
      </c>
      <c r="G23" s="850">
        <v>102733.42</v>
      </c>
      <c r="H23" s="850">
        <v>295371.43</v>
      </c>
      <c r="I23" s="851">
        <v>148229.07999999999</v>
      </c>
      <c r="J23" s="850">
        <v>146702.12</v>
      </c>
      <c r="K23" s="850">
        <v>101596.06</v>
      </c>
      <c r="L23" s="850">
        <v>88143.17</v>
      </c>
      <c r="M23" s="850">
        <v>78008.509999999995</v>
      </c>
      <c r="N23" s="850">
        <v>98310.32</v>
      </c>
      <c r="O23" s="850">
        <v>99895.33</v>
      </c>
      <c r="P23" s="850">
        <f t="shared" si="0"/>
        <v>1291726.2186553841</v>
      </c>
      <c r="R23" s="59">
        <f t="shared" si="1"/>
        <v>3.8530819706561781</v>
      </c>
    </row>
    <row r="24" spans="1:18" ht="24.95" customHeight="1" x14ac:dyDescent="0.25">
      <c r="A24" s="848">
        <v>18</v>
      </c>
      <c r="B24" s="849" t="s">
        <v>163</v>
      </c>
      <c r="C24" s="850">
        <v>1393091.72</v>
      </c>
      <c r="D24" s="850">
        <v>270498.38</v>
      </c>
      <c r="E24" s="850">
        <v>193579.03</v>
      </c>
      <c r="F24" s="850">
        <v>-1129762.0709132659</v>
      </c>
      <c r="G24" s="850">
        <v>602667.74</v>
      </c>
      <c r="H24" s="850">
        <v>1732745.21</v>
      </c>
      <c r="I24" s="851">
        <v>869560.17</v>
      </c>
      <c r="J24" s="850">
        <v>860602.51</v>
      </c>
      <c r="K24" s="850">
        <v>595995.67000000004</v>
      </c>
      <c r="L24" s="850">
        <v>517076.61</v>
      </c>
      <c r="M24" s="850">
        <v>457623.37</v>
      </c>
      <c r="N24" s="850">
        <v>576720.43000000005</v>
      </c>
      <c r="O24" s="850">
        <v>586018.61</v>
      </c>
      <c r="P24" s="850">
        <f t="shared" si="0"/>
        <v>7526417.3790867347</v>
      </c>
      <c r="R24" s="59">
        <f t="shared" si="1"/>
        <v>22.450502814117783</v>
      </c>
    </row>
    <row r="25" spans="1:18" ht="24.95" customHeight="1" x14ac:dyDescent="0.25">
      <c r="A25" s="848">
        <v>19</v>
      </c>
      <c r="B25" s="849" t="s">
        <v>164</v>
      </c>
      <c r="C25" s="850">
        <v>226548.89</v>
      </c>
      <c r="D25" s="850">
        <v>43551.01</v>
      </c>
      <c r="E25" s="850">
        <v>31166.78</v>
      </c>
      <c r="F25" s="850">
        <v>-181894.92614951599</v>
      </c>
      <c r="G25" s="850">
        <v>97031.23</v>
      </c>
      <c r="H25" s="850">
        <v>278976.94</v>
      </c>
      <c r="I25" s="851">
        <v>140001.68</v>
      </c>
      <c r="J25" s="850">
        <v>138559.47</v>
      </c>
      <c r="K25" s="850">
        <v>95957.01</v>
      </c>
      <c r="L25" s="850">
        <v>83250.81</v>
      </c>
      <c r="M25" s="850">
        <v>73678.67</v>
      </c>
      <c r="N25" s="850">
        <v>92853.64</v>
      </c>
      <c r="O25" s="850">
        <v>94350.67</v>
      </c>
      <c r="P25" s="850">
        <f t="shared" si="0"/>
        <v>1214031.8738504841</v>
      </c>
      <c r="R25" s="59">
        <f t="shared" si="1"/>
        <v>3.6213280007620585</v>
      </c>
    </row>
    <row r="26" spans="1:18" ht="24.95" customHeight="1" x14ac:dyDescent="0.25">
      <c r="A26" s="848">
        <v>20</v>
      </c>
      <c r="B26" s="849" t="s">
        <v>165</v>
      </c>
      <c r="C26" s="850">
        <v>303271.74</v>
      </c>
      <c r="D26" s="850">
        <v>62509.89</v>
      </c>
      <c r="E26" s="850">
        <v>44734.49</v>
      </c>
      <c r="F26" s="850">
        <v>-261078.42986346598</v>
      </c>
      <c r="G26" s="850">
        <v>139271.43</v>
      </c>
      <c r="H26" s="850">
        <v>400422.69</v>
      </c>
      <c r="I26" s="851">
        <v>200947.96</v>
      </c>
      <c r="J26" s="850">
        <v>198877.92</v>
      </c>
      <c r="K26" s="850">
        <v>137729.54999999999</v>
      </c>
      <c r="L26" s="850">
        <v>119492.02</v>
      </c>
      <c r="M26" s="850">
        <v>105752.86</v>
      </c>
      <c r="N26" s="850">
        <v>133275.21</v>
      </c>
      <c r="O26" s="850">
        <v>135423.95000000001</v>
      </c>
      <c r="P26" s="850">
        <f t="shared" si="0"/>
        <v>1720631.280136534</v>
      </c>
      <c r="R26" s="59">
        <f t="shared" si="1"/>
        <v>5.1324601667854397</v>
      </c>
    </row>
    <row r="27" spans="1:18" ht="24.95" customHeight="1" x14ac:dyDescent="0.25">
      <c r="A27" s="1264" t="s">
        <v>168</v>
      </c>
      <c r="B27" s="1265"/>
      <c r="C27" s="853">
        <f>SUM(C7:C26)</f>
        <v>6132044.9999999991</v>
      </c>
      <c r="D27" s="853">
        <f t="shared" ref="D27:P27" si="2">SUM(D7:D26)</f>
        <v>1208090.5999999999</v>
      </c>
      <c r="E27" s="853">
        <f t="shared" si="2"/>
        <v>864555.99999999988</v>
      </c>
      <c r="F27" s="853">
        <f t="shared" si="2"/>
        <v>-5045704.6000000006</v>
      </c>
      <c r="G27" s="853">
        <f t="shared" si="2"/>
        <v>2691614</v>
      </c>
      <c r="H27" s="853">
        <f t="shared" si="2"/>
        <v>7738727.2000000002</v>
      </c>
      <c r="I27" s="853">
        <f t="shared" si="2"/>
        <v>3883599.7999999993</v>
      </c>
      <c r="J27" s="853">
        <f t="shared" si="2"/>
        <v>3843593.4000000008</v>
      </c>
      <c r="K27" s="853">
        <f t="shared" si="2"/>
        <v>2661815.3999999994</v>
      </c>
      <c r="L27" s="853">
        <f t="shared" si="2"/>
        <v>2309349.8000000003</v>
      </c>
      <c r="M27" s="853">
        <f t="shared" si="2"/>
        <v>2043821.8</v>
      </c>
      <c r="N27" s="853">
        <f t="shared" si="2"/>
        <v>2575729</v>
      </c>
      <c r="O27" s="853">
        <f t="shared" si="2"/>
        <v>2617256.1999999997</v>
      </c>
      <c r="P27" s="854">
        <f t="shared" si="2"/>
        <v>33524493.599999998</v>
      </c>
      <c r="R27" s="59">
        <f>SUM(R7:R26)</f>
        <v>100.00000000000001</v>
      </c>
    </row>
    <row r="28" spans="1:18" x14ac:dyDescent="0.25">
      <c r="I28" s="855"/>
    </row>
    <row r="29" spans="1:18" x14ac:dyDescent="0.25">
      <c r="I29" s="104"/>
    </row>
  </sheetData>
  <mergeCells count="18">
    <mergeCell ref="A1:P2"/>
    <mergeCell ref="B4:B6"/>
    <mergeCell ref="C4:C6"/>
    <mergeCell ref="D4:D6"/>
    <mergeCell ref="E4:E6"/>
    <mergeCell ref="F4:F6"/>
    <mergeCell ref="G4:G6"/>
    <mergeCell ref="H4:H6"/>
    <mergeCell ref="I4:I6"/>
    <mergeCell ref="J4:J6"/>
    <mergeCell ref="R4:R6"/>
    <mergeCell ref="A27:B27"/>
    <mergeCell ref="K4:K6"/>
    <mergeCell ref="L4:L6"/>
    <mergeCell ref="M4:M6"/>
    <mergeCell ref="N4:N6"/>
    <mergeCell ref="O4:O6"/>
    <mergeCell ref="P4:P6"/>
  </mergeCells>
  <pageMargins left="0.70866141732283472" right="0.70866141732283472" top="0.74803149606299213" bottom="0.74803149606299213" header="0.31496062992125984" footer="0.31496062992125984"/>
  <pageSetup scale="5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rgb="FF00B050"/>
    <pageSetUpPr fitToPage="1"/>
  </sheetPr>
  <dimension ref="A1:R195"/>
  <sheetViews>
    <sheetView workbookViewId="0">
      <selection activeCell="B39" sqref="B39:M39"/>
    </sheetView>
  </sheetViews>
  <sheetFormatPr baseColWidth="10" defaultRowHeight="12.75" x14ac:dyDescent="0.2"/>
  <cols>
    <col min="1" max="1" width="18" style="597" customWidth="1"/>
    <col min="2" max="2" width="13.7109375" style="716" bestFit="1" customWidth="1"/>
    <col min="3" max="3" width="18.42578125" style="716" bestFit="1" customWidth="1"/>
    <col min="4" max="12" width="13.7109375" style="716" bestFit="1" customWidth="1"/>
    <col min="13" max="13" width="14.28515625" style="716" customWidth="1"/>
    <col min="14" max="14" width="15.28515625" style="597" bestFit="1" customWidth="1"/>
    <col min="15" max="15" width="16.42578125" style="597" bestFit="1" customWidth="1"/>
    <col min="16" max="16" width="17.85546875" style="597" bestFit="1" customWidth="1"/>
    <col min="17" max="17" width="11.42578125" style="597"/>
    <col min="18" max="18" width="15.28515625" style="597" bestFit="1" customWidth="1"/>
    <col min="19" max="256" width="11.42578125" style="597"/>
    <col min="257" max="257" width="18" style="597" customWidth="1"/>
    <col min="258" max="258" width="13.7109375" style="597" bestFit="1" customWidth="1"/>
    <col min="259" max="259" width="18.42578125" style="597" bestFit="1" customWidth="1"/>
    <col min="260" max="269" width="13.7109375" style="597" bestFit="1" customWidth="1"/>
    <col min="270" max="270" width="15.28515625" style="597" bestFit="1" customWidth="1"/>
    <col min="271" max="271" width="11.42578125" style="597"/>
    <col min="272" max="272" width="13.7109375" style="597" bestFit="1" customWidth="1"/>
    <col min="273" max="512" width="11.42578125" style="597"/>
    <col min="513" max="513" width="18" style="597" customWidth="1"/>
    <col min="514" max="514" width="13.7109375" style="597" bestFit="1" customWidth="1"/>
    <col min="515" max="515" width="18.42578125" style="597" bestFit="1" customWidth="1"/>
    <col min="516" max="525" width="13.7109375" style="597" bestFit="1" customWidth="1"/>
    <col min="526" max="526" width="15.28515625" style="597" bestFit="1" customWidth="1"/>
    <col min="527" max="527" width="11.42578125" style="597"/>
    <col min="528" max="528" width="13.7109375" style="597" bestFit="1" customWidth="1"/>
    <col min="529" max="768" width="11.42578125" style="597"/>
    <col min="769" max="769" width="18" style="597" customWidth="1"/>
    <col min="770" max="770" width="13.7109375" style="597" bestFit="1" customWidth="1"/>
    <col min="771" max="771" width="18.42578125" style="597" bestFit="1" customWidth="1"/>
    <col min="772" max="781" width="13.7109375" style="597" bestFit="1" customWidth="1"/>
    <col min="782" max="782" width="15.28515625" style="597" bestFit="1" customWidth="1"/>
    <col min="783" max="783" width="11.42578125" style="597"/>
    <col min="784" max="784" width="13.7109375" style="597" bestFit="1" customWidth="1"/>
    <col min="785" max="1024" width="11.42578125" style="597"/>
    <col min="1025" max="1025" width="18" style="597" customWidth="1"/>
    <col min="1026" max="1026" width="13.7109375" style="597" bestFit="1" customWidth="1"/>
    <col min="1027" max="1027" width="18.42578125" style="597" bestFit="1" customWidth="1"/>
    <col min="1028" max="1037" width="13.7109375" style="597" bestFit="1" customWidth="1"/>
    <col min="1038" max="1038" width="15.28515625" style="597" bestFit="1" customWidth="1"/>
    <col min="1039" max="1039" width="11.42578125" style="597"/>
    <col min="1040" max="1040" width="13.7109375" style="597" bestFit="1" customWidth="1"/>
    <col min="1041" max="1280" width="11.42578125" style="597"/>
    <col min="1281" max="1281" width="18" style="597" customWidth="1"/>
    <col min="1282" max="1282" width="13.7109375" style="597" bestFit="1" customWidth="1"/>
    <col min="1283" max="1283" width="18.42578125" style="597" bestFit="1" customWidth="1"/>
    <col min="1284" max="1293" width="13.7109375" style="597" bestFit="1" customWidth="1"/>
    <col min="1294" max="1294" width="15.28515625" style="597" bestFit="1" customWidth="1"/>
    <col min="1295" max="1295" width="11.42578125" style="597"/>
    <col min="1296" max="1296" width="13.7109375" style="597" bestFit="1" customWidth="1"/>
    <col min="1297" max="1536" width="11.42578125" style="597"/>
    <col min="1537" max="1537" width="18" style="597" customWidth="1"/>
    <col min="1538" max="1538" width="13.7109375" style="597" bestFit="1" customWidth="1"/>
    <col min="1539" max="1539" width="18.42578125" style="597" bestFit="1" customWidth="1"/>
    <col min="1540" max="1549" width="13.7109375" style="597" bestFit="1" customWidth="1"/>
    <col min="1550" max="1550" width="15.28515625" style="597" bestFit="1" customWidth="1"/>
    <col min="1551" max="1551" width="11.42578125" style="597"/>
    <col min="1552" max="1552" width="13.7109375" style="597" bestFit="1" customWidth="1"/>
    <col min="1553" max="1792" width="11.42578125" style="597"/>
    <col min="1793" max="1793" width="18" style="597" customWidth="1"/>
    <col min="1794" max="1794" width="13.7109375" style="597" bestFit="1" customWidth="1"/>
    <col min="1795" max="1795" width="18.42578125" style="597" bestFit="1" customWidth="1"/>
    <col min="1796" max="1805" width="13.7109375" style="597" bestFit="1" customWidth="1"/>
    <col min="1806" max="1806" width="15.28515625" style="597" bestFit="1" customWidth="1"/>
    <col min="1807" max="1807" width="11.42578125" style="597"/>
    <col min="1808" max="1808" width="13.7109375" style="597" bestFit="1" customWidth="1"/>
    <col min="1809" max="2048" width="11.42578125" style="597"/>
    <col min="2049" max="2049" width="18" style="597" customWidth="1"/>
    <col min="2050" max="2050" width="13.7109375" style="597" bestFit="1" customWidth="1"/>
    <col min="2051" max="2051" width="18.42578125" style="597" bestFit="1" customWidth="1"/>
    <col min="2052" max="2061" width="13.7109375" style="597" bestFit="1" customWidth="1"/>
    <col min="2062" max="2062" width="15.28515625" style="597" bestFit="1" customWidth="1"/>
    <col min="2063" max="2063" width="11.42578125" style="597"/>
    <col min="2064" max="2064" width="13.7109375" style="597" bestFit="1" customWidth="1"/>
    <col min="2065" max="2304" width="11.42578125" style="597"/>
    <col min="2305" max="2305" width="18" style="597" customWidth="1"/>
    <col min="2306" max="2306" width="13.7109375" style="597" bestFit="1" customWidth="1"/>
    <col min="2307" max="2307" width="18.42578125" style="597" bestFit="1" customWidth="1"/>
    <col min="2308" max="2317" width="13.7109375" style="597" bestFit="1" customWidth="1"/>
    <col min="2318" max="2318" width="15.28515625" style="597" bestFit="1" customWidth="1"/>
    <col min="2319" max="2319" width="11.42578125" style="597"/>
    <col min="2320" max="2320" width="13.7109375" style="597" bestFit="1" customWidth="1"/>
    <col min="2321" max="2560" width="11.42578125" style="597"/>
    <col min="2561" max="2561" width="18" style="597" customWidth="1"/>
    <col min="2562" max="2562" width="13.7109375" style="597" bestFit="1" customWidth="1"/>
    <col min="2563" max="2563" width="18.42578125" style="597" bestFit="1" customWidth="1"/>
    <col min="2564" max="2573" width="13.7109375" style="597" bestFit="1" customWidth="1"/>
    <col min="2574" max="2574" width="15.28515625" style="597" bestFit="1" customWidth="1"/>
    <col min="2575" max="2575" width="11.42578125" style="597"/>
    <col min="2576" max="2576" width="13.7109375" style="597" bestFit="1" customWidth="1"/>
    <col min="2577" max="2816" width="11.42578125" style="597"/>
    <col min="2817" max="2817" width="18" style="597" customWidth="1"/>
    <col min="2818" max="2818" width="13.7109375" style="597" bestFit="1" customWidth="1"/>
    <col min="2819" max="2819" width="18.42578125" style="597" bestFit="1" customWidth="1"/>
    <col min="2820" max="2829" width="13.7109375" style="597" bestFit="1" customWidth="1"/>
    <col min="2830" max="2830" width="15.28515625" style="597" bestFit="1" customWidth="1"/>
    <col min="2831" max="2831" width="11.42578125" style="597"/>
    <col min="2832" max="2832" width="13.7109375" style="597" bestFit="1" customWidth="1"/>
    <col min="2833" max="3072" width="11.42578125" style="597"/>
    <col min="3073" max="3073" width="18" style="597" customWidth="1"/>
    <col min="3074" max="3074" width="13.7109375" style="597" bestFit="1" customWidth="1"/>
    <col min="3075" max="3075" width="18.42578125" style="597" bestFit="1" customWidth="1"/>
    <col min="3076" max="3085" width="13.7109375" style="597" bestFit="1" customWidth="1"/>
    <col min="3086" max="3086" width="15.28515625" style="597" bestFit="1" customWidth="1"/>
    <col min="3087" max="3087" width="11.42578125" style="597"/>
    <col min="3088" max="3088" width="13.7109375" style="597" bestFit="1" customWidth="1"/>
    <col min="3089" max="3328" width="11.42578125" style="597"/>
    <col min="3329" max="3329" width="18" style="597" customWidth="1"/>
    <col min="3330" max="3330" width="13.7109375" style="597" bestFit="1" customWidth="1"/>
    <col min="3331" max="3331" width="18.42578125" style="597" bestFit="1" customWidth="1"/>
    <col min="3332" max="3341" width="13.7109375" style="597" bestFit="1" customWidth="1"/>
    <col min="3342" max="3342" width="15.28515625" style="597" bestFit="1" customWidth="1"/>
    <col min="3343" max="3343" width="11.42578125" style="597"/>
    <col min="3344" max="3344" width="13.7109375" style="597" bestFit="1" customWidth="1"/>
    <col min="3345" max="3584" width="11.42578125" style="597"/>
    <col min="3585" max="3585" width="18" style="597" customWidth="1"/>
    <col min="3586" max="3586" width="13.7109375" style="597" bestFit="1" customWidth="1"/>
    <col min="3587" max="3587" width="18.42578125" style="597" bestFit="1" customWidth="1"/>
    <col min="3588" max="3597" width="13.7109375" style="597" bestFit="1" customWidth="1"/>
    <col min="3598" max="3598" width="15.28515625" style="597" bestFit="1" customWidth="1"/>
    <col min="3599" max="3599" width="11.42578125" style="597"/>
    <col min="3600" max="3600" width="13.7109375" style="597" bestFit="1" customWidth="1"/>
    <col min="3601" max="3840" width="11.42578125" style="597"/>
    <col min="3841" max="3841" width="18" style="597" customWidth="1"/>
    <col min="3842" max="3842" width="13.7109375" style="597" bestFit="1" customWidth="1"/>
    <col min="3843" max="3843" width="18.42578125" style="597" bestFit="1" customWidth="1"/>
    <col min="3844" max="3853" width="13.7109375" style="597" bestFit="1" customWidth="1"/>
    <col min="3854" max="3854" width="15.28515625" style="597" bestFit="1" customWidth="1"/>
    <col min="3855" max="3855" width="11.42578125" style="597"/>
    <col min="3856" max="3856" width="13.7109375" style="597" bestFit="1" customWidth="1"/>
    <col min="3857" max="4096" width="11.42578125" style="597"/>
    <col min="4097" max="4097" width="18" style="597" customWidth="1"/>
    <col min="4098" max="4098" width="13.7109375" style="597" bestFit="1" customWidth="1"/>
    <col min="4099" max="4099" width="18.42578125" style="597" bestFit="1" customWidth="1"/>
    <col min="4100" max="4109" width="13.7109375" style="597" bestFit="1" customWidth="1"/>
    <col min="4110" max="4110" width="15.28515625" style="597" bestFit="1" customWidth="1"/>
    <col min="4111" max="4111" width="11.42578125" style="597"/>
    <col min="4112" max="4112" width="13.7109375" style="597" bestFit="1" customWidth="1"/>
    <col min="4113" max="4352" width="11.42578125" style="597"/>
    <col min="4353" max="4353" width="18" style="597" customWidth="1"/>
    <col min="4354" max="4354" width="13.7109375" style="597" bestFit="1" customWidth="1"/>
    <col min="4355" max="4355" width="18.42578125" style="597" bestFit="1" customWidth="1"/>
    <col min="4356" max="4365" width="13.7109375" style="597" bestFit="1" customWidth="1"/>
    <col min="4366" max="4366" width="15.28515625" style="597" bestFit="1" customWidth="1"/>
    <col min="4367" max="4367" width="11.42578125" style="597"/>
    <col min="4368" max="4368" width="13.7109375" style="597" bestFit="1" customWidth="1"/>
    <col min="4369" max="4608" width="11.42578125" style="597"/>
    <col min="4609" max="4609" width="18" style="597" customWidth="1"/>
    <col min="4610" max="4610" width="13.7109375" style="597" bestFit="1" customWidth="1"/>
    <col min="4611" max="4611" width="18.42578125" style="597" bestFit="1" customWidth="1"/>
    <col min="4612" max="4621" width="13.7109375" style="597" bestFit="1" customWidth="1"/>
    <col min="4622" max="4622" width="15.28515625" style="597" bestFit="1" customWidth="1"/>
    <col min="4623" max="4623" width="11.42578125" style="597"/>
    <col min="4624" max="4624" width="13.7109375" style="597" bestFit="1" customWidth="1"/>
    <col min="4625" max="4864" width="11.42578125" style="597"/>
    <col min="4865" max="4865" width="18" style="597" customWidth="1"/>
    <col min="4866" max="4866" width="13.7109375" style="597" bestFit="1" customWidth="1"/>
    <col min="4867" max="4867" width="18.42578125" style="597" bestFit="1" customWidth="1"/>
    <col min="4868" max="4877" width="13.7109375" style="597" bestFit="1" customWidth="1"/>
    <col min="4878" max="4878" width="15.28515625" style="597" bestFit="1" customWidth="1"/>
    <col min="4879" max="4879" width="11.42578125" style="597"/>
    <col min="4880" max="4880" width="13.7109375" style="597" bestFit="1" customWidth="1"/>
    <col min="4881" max="5120" width="11.42578125" style="597"/>
    <col min="5121" max="5121" width="18" style="597" customWidth="1"/>
    <col min="5122" max="5122" width="13.7109375" style="597" bestFit="1" customWidth="1"/>
    <col min="5123" max="5123" width="18.42578125" style="597" bestFit="1" customWidth="1"/>
    <col min="5124" max="5133" width="13.7109375" style="597" bestFit="1" customWidth="1"/>
    <col min="5134" max="5134" width="15.28515625" style="597" bestFit="1" customWidth="1"/>
    <col min="5135" max="5135" width="11.42578125" style="597"/>
    <col min="5136" max="5136" width="13.7109375" style="597" bestFit="1" customWidth="1"/>
    <col min="5137" max="5376" width="11.42578125" style="597"/>
    <col min="5377" max="5377" width="18" style="597" customWidth="1"/>
    <col min="5378" max="5378" width="13.7109375" style="597" bestFit="1" customWidth="1"/>
    <col min="5379" max="5379" width="18.42578125" style="597" bestFit="1" customWidth="1"/>
    <col min="5380" max="5389" width="13.7109375" style="597" bestFit="1" customWidth="1"/>
    <col min="5390" max="5390" width="15.28515625" style="597" bestFit="1" customWidth="1"/>
    <col min="5391" max="5391" width="11.42578125" style="597"/>
    <col min="5392" max="5392" width="13.7109375" style="597" bestFit="1" customWidth="1"/>
    <col min="5393" max="5632" width="11.42578125" style="597"/>
    <col min="5633" max="5633" width="18" style="597" customWidth="1"/>
    <col min="5634" max="5634" width="13.7109375" style="597" bestFit="1" customWidth="1"/>
    <col min="5635" max="5635" width="18.42578125" style="597" bestFit="1" customWidth="1"/>
    <col min="5636" max="5645" width="13.7109375" style="597" bestFit="1" customWidth="1"/>
    <col min="5646" max="5646" width="15.28515625" style="597" bestFit="1" customWidth="1"/>
    <col min="5647" max="5647" width="11.42578125" style="597"/>
    <col min="5648" max="5648" width="13.7109375" style="597" bestFit="1" customWidth="1"/>
    <col min="5649" max="5888" width="11.42578125" style="597"/>
    <col min="5889" max="5889" width="18" style="597" customWidth="1"/>
    <col min="5890" max="5890" width="13.7109375" style="597" bestFit="1" customWidth="1"/>
    <col min="5891" max="5891" width="18.42578125" style="597" bestFit="1" customWidth="1"/>
    <col min="5892" max="5901" width="13.7109375" style="597" bestFit="1" customWidth="1"/>
    <col min="5902" max="5902" width="15.28515625" style="597" bestFit="1" customWidth="1"/>
    <col min="5903" max="5903" width="11.42578125" style="597"/>
    <col min="5904" max="5904" width="13.7109375" style="597" bestFit="1" customWidth="1"/>
    <col min="5905" max="6144" width="11.42578125" style="597"/>
    <col min="6145" max="6145" width="18" style="597" customWidth="1"/>
    <col min="6146" max="6146" width="13.7109375" style="597" bestFit="1" customWidth="1"/>
    <col min="6147" max="6147" width="18.42578125" style="597" bestFit="1" customWidth="1"/>
    <col min="6148" max="6157" width="13.7109375" style="597" bestFit="1" customWidth="1"/>
    <col min="6158" max="6158" width="15.28515625" style="597" bestFit="1" customWidth="1"/>
    <col min="6159" max="6159" width="11.42578125" style="597"/>
    <col min="6160" max="6160" width="13.7109375" style="597" bestFit="1" customWidth="1"/>
    <col min="6161" max="6400" width="11.42578125" style="597"/>
    <col min="6401" max="6401" width="18" style="597" customWidth="1"/>
    <col min="6402" max="6402" width="13.7109375" style="597" bestFit="1" customWidth="1"/>
    <col min="6403" max="6403" width="18.42578125" style="597" bestFit="1" customWidth="1"/>
    <col min="6404" max="6413" width="13.7109375" style="597" bestFit="1" customWidth="1"/>
    <col min="6414" max="6414" width="15.28515625" style="597" bestFit="1" customWidth="1"/>
    <col min="6415" max="6415" width="11.42578125" style="597"/>
    <col min="6416" max="6416" width="13.7109375" style="597" bestFit="1" customWidth="1"/>
    <col min="6417" max="6656" width="11.42578125" style="597"/>
    <col min="6657" max="6657" width="18" style="597" customWidth="1"/>
    <col min="6658" max="6658" width="13.7109375" style="597" bestFit="1" customWidth="1"/>
    <col min="6659" max="6659" width="18.42578125" style="597" bestFit="1" customWidth="1"/>
    <col min="6660" max="6669" width="13.7109375" style="597" bestFit="1" customWidth="1"/>
    <col min="6670" max="6670" width="15.28515625" style="597" bestFit="1" customWidth="1"/>
    <col min="6671" max="6671" width="11.42578125" style="597"/>
    <col min="6672" max="6672" width="13.7109375" style="597" bestFit="1" customWidth="1"/>
    <col min="6673" max="6912" width="11.42578125" style="597"/>
    <col min="6913" max="6913" width="18" style="597" customWidth="1"/>
    <col min="6914" max="6914" width="13.7109375" style="597" bestFit="1" customWidth="1"/>
    <col min="6915" max="6915" width="18.42578125" style="597" bestFit="1" customWidth="1"/>
    <col min="6916" max="6925" width="13.7109375" style="597" bestFit="1" customWidth="1"/>
    <col min="6926" max="6926" width="15.28515625" style="597" bestFit="1" customWidth="1"/>
    <col min="6927" max="6927" width="11.42578125" style="597"/>
    <col min="6928" max="6928" width="13.7109375" style="597" bestFit="1" customWidth="1"/>
    <col min="6929" max="7168" width="11.42578125" style="597"/>
    <col min="7169" max="7169" width="18" style="597" customWidth="1"/>
    <col min="7170" max="7170" width="13.7109375" style="597" bestFit="1" customWidth="1"/>
    <col min="7171" max="7171" width="18.42578125" style="597" bestFit="1" customWidth="1"/>
    <col min="7172" max="7181" width="13.7109375" style="597" bestFit="1" customWidth="1"/>
    <col min="7182" max="7182" width="15.28515625" style="597" bestFit="1" customWidth="1"/>
    <col min="7183" max="7183" width="11.42578125" style="597"/>
    <col min="7184" max="7184" width="13.7109375" style="597" bestFit="1" customWidth="1"/>
    <col min="7185" max="7424" width="11.42578125" style="597"/>
    <col min="7425" max="7425" width="18" style="597" customWidth="1"/>
    <col min="7426" max="7426" width="13.7109375" style="597" bestFit="1" customWidth="1"/>
    <col min="7427" max="7427" width="18.42578125" style="597" bestFit="1" customWidth="1"/>
    <col min="7428" max="7437" width="13.7109375" style="597" bestFit="1" customWidth="1"/>
    <col min="7438" max="7438" width="15.28515625" style="597" bestFit="1" customWidth="1"/>
    <col min="7439" max="7439" width="11.42578125" style="597"/>
    <col min="7440" max="7440" width="13.7109375" style="597" bestFit="1" customWidth="1"/>
    <col min="7441" max="7680" width="11.42578125" style="597"/>
    <col min="7681" max="7681" width="18" style="597" customWidth="1"/>
    <col min="7682" max="7682" width="13.7109375" style="597" bestFit="1" customWidth="1"/>
    <col min="7683" max="7683" width="18.42578125" style="597" bestFit="1" customWidth="1"/>
    <col min="7684" max="7693" width="13.7109375" style="597" bestFit="1" customWidth="1"/>
    <col min="7694" max="7694" width="15.28515625" style="597" bestFit="1" customWidth="1"/>
    <col min="7695" max="7695" width="11.42578125" style="597"/>
    <col min="7696" max="7696" width="13.7109375" style="597" bestFit="1" customWidth="1"/>
    <col min="7697" max="7936" width="11.42578125" style="597"/>
    <col min="7937" max="7937" width="18" style="597" customWidth="1"/>
    <col min="7938" max="7938" width="13.7109375" style="597" bestFit="1" customWidth="1"/>
    <col min="7939" max="7939" width="18.42578125" style="597" bestFit="1" customWidth="1"/>
    <col min="7940" max="7949" width="13.7109375" style="597" bestFit="1" customWidth="1"/>
    <col min="7950" max="7950" width="15.28515625" style="597" bestFit="1" customWidth="1"/>
    <col min="7951" max="7951" width="11.42578125" style="597"/>
    <col min="7952" max="7952" width="13.7109375" style="597" bestFit="1" customWidth="1"/>
    <col min="7953" max="8192" width="11.42578125" style="597"/>
    <col min="8193" max="8193" width="18" style="597" customWidth="1"/>
    <col min="8194" max="8194" width="13.7109375" style="597" bestFit="1" customWidth="1"/>
    <col min="8195" max="8195" width="18.42578125" style="597" bestFit="1" customWidth="1"/>
    <col min="8196" max="8205" width="13.7109375" style="597" bestFit="1" customWidth="1"/>
    <col min="8206" max="8206" width="15.28515625" style="597" bestFit="1" customWidth="1"/>
    <col min="8207" max="8207" width="11.42578125" style="597"/>
    <col min="8208" max="8208" width="13.7109375" style="597" bestFit="1" customWidth="1"/>
    <col min="8209" max="8448" width="11.42578125" style="597"/>
    <col min="8449" max="8449" width="18" style="597" customWidth="1"/>
    <col min="8450" max="8450" width="13.7109375" style="597" bestFit="1" customWidth="1"/>
    <col min="8451" max="8451" width="18.42578125" style="597" bestFit="1" customWidth="1"/>
    <col min="8452" max="8461" width="13.7109375" style="597" bestFit="1" customWidth="1"/>
    <col min="8462" max="8462" width="15.28515625" style="597" bestFit="1" customWidth="1"/>
    <col min="8463" max="8463" width="11.42578125" style="597"/>
    <col min="8464" max="8464" width="13.7109375" style="597" bestFit="1" customWidth="1"/>
    <col min="8465" max="8704" width="11.42578125" style="597"/>
    <col min="8705" max="8705" width="18" style="597" customWidth="1"/>
    <col min="8706" max="8706" width="13.7109375" style="597" bestFit="1" customWidth="1"/>
    <col min="8707" max="8707" width="18.42578125" style="597" bestFit="1" customWidth="1"/>
    <col min="8708" max="8717" width="13.7109375" style="597" bestFit="1" customWidth="1"/>
    <col min="8718" max="8718" width="15.28515625" style="597" bestFit="1" customWidth="1"/>
    <col min="8719" max="8719" width="11.42578125" style="597"/>
    <col min="8720" max="8720" width="13.7109375" style="597" bestFit="1" customWidth="1"/>
    <col min="8721" max="8960" width="11.42578125" style="597"/>
    <col min="8961" max="8961" width="18" style="597" customWidth="1"/>
    <col min="8962" max="8962" width="13.7109375" style="597" bestFit="1" customWidth="1"/>
    <col min="8963" max="8963" width="18.42578125" style="597" bestFit="1" customWidth="1"/>
    <col min="8964" max="8973" width="13.7109375" style="597" bestFit="1" customWidth="1"/>
    <col min="8974" max="8974" width="15.28515625" style="597" bestFit="1" customWidth="1"/>
    <col min="8975" max="8975" width="11.42578125" style="597"/>
    <col min="8976" max="8976" width="13.7109375" style="597" bestFit="1" customWidth="1"/>
    <col min="8977" max="9216" width="11.42578125" style="597"/>
    <col min="9217" max="9217" width="18" style="597" customWidth="1"/>
    <col min="9218" max="9218" width="13.7109375" style="597" bestFit="1" customWidth="1"/>
    <col min="9219" max="9219" width="18.42578125" style="597" bestFit="1" customWidth="1"/>
    <col min="9220" max="9229" width="13.7109375" style="597" bestFit="1" customWidth="1"/>
    <col min="9230" max="9230" width="15.28515625" style="597" bestFit="1" customWidth="1"/>
    <col min="9231" max="9231" width="11.42578125" style="597"/>
    <col min="9232" max="9232" width="13.7109375" style="597" bestFit="1" customWidth="1"/>
    <col min="9233" max="9472" width="11.42578125" style="597"/>
    <col min="9473" max="9473" width="18" style="597" customWidth="1"/>
    <col min="9474" max="9474" width="13.7109375" style="597" bestFit="1" customWidth="1"/>
    <col min="9475" max="9475" width="18.42578125" style="597" bestFit="1" customWidth="1"/>
    <col min="9476" max="9485" width="13.7109375" style="597" bestFit="1" customWidth="1"/>
    <col min="9486" max="9486" width="15.28515625" style="597" bestFit="1" customWidth="1"/>
    <col min="9487" max="9487" width="11.42578125" style="597"/>
    <col min="9488" max="9488" width="13.7109375" style="597" bestFit="1" customWidth="1"/>
    <col min="9489" max="9728" width="11.42578125" style="597"/>
    <col min="9729" max="9729" width="18" style="597" customWidth="1"/>
    <col min="9730" max="9730" width="13.7109375" style="597" bestFit="1" customWidth="1"/>
    <col min="9731" max="9731" width="18.42578125" style="597" bestFit="1" customWidth="1"/>
    <col min="9732" max="9741" width="13.7109375" style="597" bestFit="1" customWidth="1"/>
    <col min="9742" max="9742" width="15.28515625" style="597" bestFit="1" customWidth="1"/>
    <col min="9743" max="9743" width="11.42578125" style="597"/>
    <col min="9744" max="9744" width="13.7109375" style="597" bestFit="1" customWidth="1"/>
    <col min="9745" max="9984" width="11.42578125" style="597"/>
    <col min="9985" max="9985" width="18" style="597" customWidth="1"/>
    <col min="9986" max="9986" width="13.7109375" style="597" bestFit="1" customWidth="1"/>
    <col min="9987" max="9987" width="18.42578125" style="597" bestFit="1" customWidth="1"/>
    <col min="9988" max="9997" width="13.7109375" style="597" bestFit="1" customWidth="1"/>
    <col min="9998" max="9998" width="15.28515625" style="597" bestFit="1" customWidth="1"/>
    <col min="9999" max="9999" width="11.42578125" style="597"/>
    <col min="10000" max="10000" width="13.7109375" style="597" bestFit="1" customWidth="1"/>
    <col min="10001" max="10240" width="11.42578125" style="597"/>
    <col min="10241" max="10241" width="18" style="597" customWidth="1"/>
    <col min="10242" max="10242" width="13.7109375" style="597" bestFit="1" customWidth="1"/>
    <col min="10243" max="10243" width="18.42578125" style="597" bestFit="1" customWidth="1"/>
    <col min="10244" max="10253" width="13.7109375" style="597" bestFit="1" customWidth="1"/>
    <col min="10254" max="10254" width="15.28515625" style="597" bestFit="1" customWidth="1"/>
    <col min="10255" max="10255" width="11.42578125" style="597"/>
    <col min="10256" max="10256" width="13.7109375" style="597" bestFit="1" customWidth="1"/>
    <col min="10257" max="10496" width="11.42578125" style="597"/>
    <col min="10497" max="10497" width="18" style="597" customWidth="1"/>
    <col min="10498" max="10498" width="13.7109375" style="597" bestFit="1" customWidth="1"/>
    <col min="10499" max="10499" width="18.42578125" style="597" bestFit="1" customWidth="1"/>
    <col min="10500" max="10509" width="13.7109375" style="597" bestFit="1" customWidth="1"/>
    <col min="10510" max="10510" width="15.28515625" style="597" bestFit="1" customWidth="1"/>
    <col min="10511" max="10511" width="11.42578125" style="597"/>
    <col min="10512" max="10512" width="13.7109375" style="597" bestFit="1" customWidth="1"/>
    <col min="10513" max="10752" width="11.42578125" style="597"/>
    <col min="10753" max="10753" width="18" style="597" customWidth="1"/>
    <col min="10754" max="10754" width="13.7109375" style="597" bestFit="1" customWidth="1"/>
    <col min="10755" max="10755" width="18.42578125" style="597" bestFit="1" customWidth="1"/>
    <col min="10756" max="10765" width="13.7109375" style="597" bestFit="1" customWidth="1"/>
    <col min="10766" max="10766" width="15.28515625" style="597" bestFit="1" customWidth="1"/>
    <col min="10767" max="10767" width="11.42578125" style="597"/>
    <col min="10768" max="10768" width="13.7109375" style="597" bestFit="1" customWidth="1"/>
    <col min="10769" max="11008" width="11.42578125" style="597"/>
    <col min="11009" max="11009" width="18" style="597" customWidth="1"/>
    <col min="11010" max="11010" width="13.7109375" style="597" bestFit="1" customWidth="1"/>
    <col min="11011" max="11011" width="18.42578125" style="597" bestFit="1" customWidth="1"/>
    <col min="11012" max="11021" width="13.7109375" style="597" bestFit="1" customWidth="1"/>
    <col min="11022" max="11022" width="15.28515625" style="597" bestFit="1" customWidth="1"/>
    <col min="11023" max="11023" width="11.42578125" style="597"/>
    <col min="11024" max="11024" width="13.7109375" style="597" bestFit="1" customWidth="1"/>
    <col min="11025" max="11264" width="11.42578125" style="597"/>
    <col min="11265" max="11265" width="18" style="597" customWidth="1"/>
    <col min="11266" max="11266" width="13.7109375" style="597" bestFit="1" customWidth="1"/>
    <col min="11267" max="11267" width="18.42578125" style="597" bestFit="1" customWidth="1"/>
    <col min="11268" max="11277" width="13.7109375" style="597" bestFit="1" customWidth="1"/>
    <col min="11278" max="11278" width="15.28515625" style="597" bestFit="1" customWidth="1"/>
    <col min="11279" max="11279" width="11.42578125" style="597"/>
    <col min="11280" max="11280" width="13.7109375" style="597" bestFit="1" customWidth="1"/>
    <col min="11281" max="11520" width="11.42578125" style="597"/>
    <col min="11521" max="11521" width="18" style="597" customWidth="1"/>
    <col min="11522" max="11522" width="13.7109375" style="597" bestFit="1" customWidth="1"/>
    <col min="11523" max="11523" width="18.42578125" style="597" bestFit="1" customWidth="1"/>
    <col min="11524" max="11533" width="13.7109375" style="597" bestFit="1" customWidth="1"/>
    <col min="11534" max="11534" width="15.28515625" style="597" bestFit="1" customWidth="1"/>
    <col min="11535" max="11535" width="11.42578125" style="597"/>
    <col min="11536" max="11536" width="13.7109375" style="597" bestFit="1" customWidth="1"/>
    <col min="11537" max="11776" width="11.42578125" style="597"/>
    <col min="11777" max="11777" width="18" style="597" customWidth="1"/>
    <col min="11778" max="11778" width="13.7109375" style="597" bestFit="1" customWidth="1"/>
    <col min="11779" max="11779" width="18.42578125" style="597" bestFit="1" customWidth="1"/>
    <col min="11780" max="11789" width="13.7109375" style="597" bestFit="1" customWidth="1"/>
    <col min="11790" max="11790" width="15.28515625" style="597" bestFit="1" customWidth="1"/>
    <col min="11791" max="11791" width="11.42578125" style="597"/>
    <col min="11792" max="11792" width="13.7109375" style="597" bestFit="1" customWidth="1"/>
    <col min="11793" max="12032" width="11.42578125" style="597"/>
    <col min="12033" max="12033" width="18" style="597" customWidth="1"/>
    <col min="12034" max="12034" width="13.7109375" style="597" bestFit="1" customWidth="1"/>
    <col min="12035" max="12035" width="18.42578125" style="597" bestFit="1" customWidth="1"/>
    <col min="12036" max="12045" width="13.7109375" style="597" bestFit="1" customWidth="1"/>
    <col min="12046" max="12046" width="15.28515625" style="597" bestFit="1" customWidth="1"/>
    <col min="12047" max="12047" width="11.42578125" style="597"/>
    <col min="12048" max="12048" width="13.7109375" style="597" bestFit="1" customWidth="1"/>
    <col min="12049" max="12288" width="11.42578125" style="597"/>
    <col min="12289" max="12289" width="18" style="597" customWidth="1"/>
    <col min="12290" max="12290" width="13.7109375" style="597" bestFit="1" customWidth="1"/>
    <col min="12291" max="12291" width="18.42578125" style="597" bestFit="1" customWidth="1"/>
    <col min="12292" max="12301" width="13.7109375" style="597" bestFit="1" customWidth="1"/>
    <col min="12302" max="12302" width="15.28515625" style="597" bestFit="1" customWidth="1"/>
    <col min="12303" max="12303" width="11.42578125" style="597"/>
    <col min="12304" max="12304" width="13.7109375" style="597" bestFit="1" customWidth="1"/>
    <col min="12305" max="12544" width="11.42578125" style="597"/>
    <col min="12545" max="12545" width="18" style="597" customWidth="1"/>
    <col min="12546" max="12546" width="13.7109375" style="597" bestFit="1" customWidth="1"/>
    <col min="12547" max="12547" width="18.42578125" style="597" bestFit="1" customWidth="1"/>
    <col min="12548" max="12557" width="13.7109375" style="597" bestFit="1" customWidth="1"/>
    <col min="12558" max="12558" width="15.28515625" style="597" bestFit="1" customWidth="1"/>
    <col min="12559" max="12559" width="11.42578125" style="597"/>
    <col min="12560" max="12560" width="13.7109375" style="597" bestFit="1" customWidth="1"/>
    <col min="12561" max="12800" width="11.42578125" style="597"/>
    <col min="12801" max="12801" width="18" style="597" customWidth="1"/>
    <col min="12802" max="12802" width="13.7109375" style="597" bestFit="1" customWidth="1"/>
    <col min="12803" max="12803" width="18.42578125" style="597" bestFit="1" customWidth="1"/>
    <col min="12804" max="12813" width="13.7109375" style="597" bestFit="1" customWidth="1"/>
    <col min="12814" max="12814" width="15.28515625" style="597" bestFit="1" customWidth="1"/>
    <col min="12815" max="12815" width="11.42578125" style="597"/>
    <col min="12816" max="12816" width="13.7109375" style="597" bestFit="1" customWidth="1"/>
    <col min="12817" max="13056" width="11.42578125" style="597"/>
    <col min="13057" max="13057" width="18" style="597" customWidth="1"/>
    <col min="13058" max="13058" width="13.7109375" style="597" bestFit="1" customWidth="1"/>
    <col min="13059" max="13059" width="18.42578125" style="597" bestFit="1" customWidth="1"/>
    <col min="13060" max="13069" width="13.7109375" style="597" bestFit="1" customWidth="1"/>
    <col min="13070" max="13070" width="15.28515625" style="597" bestFit="1" customWidth="1"/>
    <col min="13071" max="13071" width="11.42578125" style="597"/>
    <col min="13072" max="13072" width="13.7109375" style="597" bestFit="1" customWidth="1"/>
    <col min="13073" max="13312" width="11.42578125" style="597"/>
    <col min="13313" max="13313" width="18" style="597" customWidth="1"/>
    <col min="13314" max="13314" width="13.7109375" style="597" bestFit="1" customWidth="1"/>
    <col min="13315" max="13315" width="18.42578125" style="597" bestFit="1" customWidth="1"/>
    <col min="13316" max="13325" width="13.7109375" style="597" bestFit="1" customWidth="1"/>
    <col min="13326" max="13326" width="15.28515625" style="597" bestFit="1" customWidth="1"/>
    <col min="13327" max="13327" width="11.42578125" style="597"/>
    <col min="13328" max="13328" width="13.7109375" style="597" bestFit="1" customWidth="1"/>
    <col min="13329" max="13568" width="11.42578125" style="597"/>
    <col min="13569" max="13569" width="18" style="597" customWidth="1"/>
    <col min="13570" max="13570" width="13.7109375" style="597" bestFit="1" customWidth="1"/>
    <col min="13571" max="13571" width="18.42578125" style="597" bestFit="1" customWidth="1"/>
    <col min="13572" max="13581" width="13.7109375" style="597" bestFit="1" customWidth="1"/>
    <col min="13582" max="13582" width="15.28515625" style="597" bestFit="1" customWidth="1"/>
    <col min="13583" max="13583" width="11.42578125" style="597"/>
    <col min="13584" max="13584" width="13.7109375" style="597" bestFit="1" customWidth="1"/>
    <col min="13585" max="13824" width="11.42578125" style="597"/>
    <col min="13825" max="13825" width="18" style="597" customWidth="1"/>
    <col min="13826" max="13826" width="13.7109375" style="597" bestFit="1" customWidth="1"/>
    <col min="13827" max="13827" width="18.42578125" style="597" bestFit="1" customWidth="1"/>
    <col min="13828" max="13837" width="13.7109375" style="597" bestFit="1" customWidth="1"/>
    <col min="13838" max="13838" width="15.28515625" style="597" bestFit="1" customWidth="1"/>
    <col min="13839" max="13839" width="11.42578125" style="597"/>
    <col min="13840" max="13840" width="13.7109375" style="597" bestFit="1" customWidth="1"/>
    <col min="13841" max="14080" width="11.42578125" style="597"/>
    <col min="14081" max="14081" width="18" style="597" customWidth="1"/>
    <col min="14082" max="14082" width="13.7109375" style="597" bestFit="1" customWidth="1"/>
    <col min="14083" max="14083" width="18.42578125" style="597" bestFit="1" customWidth="1"/>
    <col min="14084" max="14093" width="13.7109375" style="597" bestFit="1" customWidth="1"/>
    <col min="14094" max="14094" width="15.28515625" style="597" bestFit="1" customWidth="1"/>
    <col min="14095" max="14095" width="11.42578125" style="597"/>
    <col min="14096" max="14096" width="13.7109375" style="597" bestFit="1" customWidth="1"/>
    <col min="14097" max="14336" width="11.42578125" style="597"/>
    <col min="14337" max="14337" width="18" style="597" customWidth="1"/>
    <col min="14338" max="14338" width="13.7109375" style="597" bestFit="1" customWidth="1"/>
    <col min="14339" max="14339" width="18.42578125" style="597" bestFit="1" customWidth="1"/>
    <col min="14340" max="14349" width="13.7109375" style="597" bestFit="1" customWidth="1"/>
    <col min="14350" max="14350" width="15.28515625" style="597" bestFit="1" customWidth="1"/>
    <col min="14351" max="14351" width="11.42578125" style="597"/>
    <col min="14352" max="14352" width="13.7109375" style="597" bestFit="1" customWidth="1"/>
    <col min="14353" max="14592" width="11.42578125" style="597"/>
    <col min="14593" max="14593" width="18" style="597" customWidth="1"/>
    <col min="14594" max="14594" width="13.7109375" style="597" bestFit="1" customWidth="1"/>
    <col min="14595" max="14595" width="18.42578125" style="597" bestFit="1" customWidth="1"/>
    <col min="14596" max="14605" width="13.7109375" style="597" bestFit="1" customWidth="1"/>
    <col min="14606" max="14606" width="15.28515625" style="597" bestFit="1" customWidth="1"/>
    <col min="14607" max="14607" width="11.42578125" style="597"/>
    <col min="14608" max="14608" width="13.7109375" style="597" bestFit="1" customWidth="1"/>
    <col min="14609" max="14848" width="11.42578125" style="597"/>
    <col min="14849" max="14849" width="18" style="597" customWidth="1"/>
    <col min="14850" max="14850" width="13.7109375" style="597" bestFit="1" customWidth="1"/>
    <col min="14851" max="14851" width="18.42578125" style="597" bestFit="1" customWidth="1"/>
    <col min="14852" max="14861" width="13.7109375" style="597" bestFit="1" customWidth="1"/>
    <col min="14862" max="14862" width="15.28515625" style="597" bestFit="1" customWidth="1"/>
    <col min="14863" max="14863" width="11.42578125" style="597"/>
    <col min="14864" max="14864" width="13.7109375" style="597" bestFit="1" customWidth="1"/>
    <col min="14865" max="15104" width="11.42578125" style="597"/>
    <col min="15105" max="15105" width="18" style="597" customWidth="1"/>
    <col min="15106" max="15106" width="13.7109375" style="597" bestFit="1" customWidth="1"/>
    <col min="15107" max="15107" width="18.42578125" style="597" bestFit="1" customWidth="1"/>
    <col min="15108" max="15117" width="13.7109375" style="597" bestFit="1" customWidth="1"/>
    <col min="15118" max="15118" width="15.28515625" style="597" bestFit="1" customWidth="1"/>
    <col min="15119" max="15119" width="11.42578125" style="597"/>
    <col min="15120" max="15120" width="13.7109375" style="597" bestFit="1" customWidth="1"/>
    <col min="15121" max="15360" width="11.42578125" style="597"/>
    <col min="15361" max="15361" width="18" style="597" customWidth="1"/>
    <col min="15362" max="15362" width="13.7109375" style="597" bestFit="1" customWidth="1"/>
    <col min="15363" max="15363" width="18.42578125" style="597" bestFit="1" customWidth="1"/>
    <col min="15364" max="15373" width="13.7109375" style="597" bestFit="1" customWidth="1"/>
    <col min="15374" max="15374" width="15.28515625" style="597" bestFit="1" customWidth="1"/>
    <col min="15375" max="15375" width="11.42578125" style="597"/>
    <col min="15376" max="15376" width="13.7109375" style="597" bestFit="1" customWidth="1"/>
    <col min="15377" max="15616" width="11.42578125" style="597"/>
    <col min="15617" max="15617" width="18" style="597" customWidth="1"/>
    <col min="15618" max="15618" width="13.7109375" style="597" bestFit="1" customWidth="1"/>
    <col min="15619" max="15619" width="18.42578125" style="597" bestFit="1" customWidth="1"/>
    <col min="15620" max="15629" width="13.7109375" style="597" bestFit="1" customWidth="1"/>
    <col min="15630" max="15630" width="15.28515625" style="597" bestFit="1" customWidth="1"/>
    <col min="15631" max="15631" width="11.42578125" style="597"/>
    <col min="15632" max="15632" width="13.7109375" style="597" bestFit="1" customWidth="1"/>
    <col min="15633" max="15872" width="11.42578125" style="597"/>
    <col min="15873" max="15873" width="18" style="597" customWidth="1"/>
    <col min="15874" max="15874" width="13.7109375" style="597" bestFit="1" customWidth="1"/>
    <col min="15875" max="15875" width="18.42578125" style="597" bestFit="1" customWidth="1"/>
    <col min="15876" max="15885" width="13.7109375" style="597" bestFit="1" customWidth="1"/>
    <col min="15886" max="15886" width="15.28515625" style="597" bestFit="1" customWidth="1"/>
    <col min="15887" max="15887" width="11.42578125" style="597"/>
    <col min="15888" max="15888" width="13.7109375" style="597" bestFit="1" customWidth="1"/>
    <col min="15889" max="16128" width="11.42578125" style="597"/>
    <col min="16129" max="16129" width="18" style="597" customWidth="1"/>
    <col min="16130" max="16130" width="13.7109375" style="597" bestFit="1" customWidth="1"/>
    <col min="16131" max="16131" width="18.42578125" style="597" bestFit="1" customWidth="1"/>
    <col min="16132" max="16141" width="13.7109375" style="597" bestFit="1" customWidth="1"/>
    <col min="16142" max="16142" width="15.28515625" style="597" bestFit="1" customWidth="1"/>
    <col min="16143" max="16143" width="11.42578125" style="597"/>
    <col min="16144" max="16144" width="13.7109375" style="597" bestFit="1" customWidth="1"/>
    <col min="16145" max="16384" width="11.42578125" style="597"/>
  </cols>
  <sheetData>
    <row r="1" spans="1:16" ht="15.75" x14ac:dyDescent="0.25">
      <c r="A1" s="1253" t="s">
        <v>277</v>
      </c>
      <c r="B1" s="1253"/>
      <c r="C1" s="1253"/>
      <c r="D1" s="1253"/>
      <c r="E1" s="1253"/>
      <c r="F1" s="1253"/>
      <c r="G1" s="1253"/>
      <c r="H1" s="1253"/>
      <c r="I1" s="1253"/>
      <c r="J1" s="1253"/>
      <c r="K1" s="1253"/>
      <c r="L1" s="1253"/>
      <c r="M1" s="1253"/>
    </row>
    <row r="2" spans="1:16" x14ac:dyDescent="0.2">
      <c r="A2" s="1254" t="s">
        <v>278</v>
      </c>
      <c r="B2" s="1254"/>
      <c r="C2" s="1254"/>
      <c r="D2" s="1254"/>
      <c r="E2" s="1254"/>
      <c r="F2" s="1254"/>
      <c r="G2" s="1254"/>
      <c r="H2" s="1254"/>
      <c r="I2" s="1254"/>
      <c r="J2" s="1254"/>
      <c r="K2" s="1254"/>
      <c r="L2" s="1254"/>
      <c r="M2" s="1254"/>
      <c r="N2" s="687"/>
    </row>
    <row r="3" spans="1:16" x14ac:dyDescent="0.2">
      <c r="A3" s="1254" t="s">
        <v>279</v>
      </c>
      <c r="B3" s="1254"/>
      <c r="C3" s="1254"/>
      <c r="D3" s="1254"/>
      <c r="E3" s="1254"/>
      <c r="F3" s="1254"/>
      <c r="G3" s="1254"/>
      <c r="H3" s="1254"/>
      <c r="I3" s="1254"/>
      <c r="J3" s="1254"/>
      <c r="K3" s="1254"/>
      <c r="L3" s="1254"/>
      <c r="M3" s="1254"/>
      <c r="N3" s="687"/>
    </row>
    <row r="4" spans="1:16" x14ac:dyDescent="0.2">
      <c r="A4" s="1272" t="s">
        <v>385</v>
      </c>
      <c r="B4" s="1272"/>
      <c r="C4" s="1272"/>
      <c r="D4" s="1272"/>
      <c r="E4" s="1272"/>
      <c r="F4" s="1272"/>
      <c r="G4" s="1272"/>
      <c r="H4" s="1272"/>
      <c r="I4" s="1272"/>
      <c r="J4" s="1272"/>
      <c r="K4" s="1272"/>
      <c r="L4" s="1272"/>
      <c r="M4" s="1272"/>
    </row>
    <row r="5" spans="1:16" x14ac:dyDescent="0.2">
      <c r="A5" s="1277" t="s">
        <v>491</v>
      </c>
      <c r="B5" s="1277"/>
      <c r="C5" s="1277"/>
      <c r="D5" s="1277"/>
      <c r="E5" s="1277"/>
      <c r="F5" s="1277"/>
      <c r="G5" s="1277"/>
      <c r="H5" s="1277"/>
      <c r="I5" s="1277"/>
      <c r="J5" s="1277"/>
      <c r="K5" s="1277"/>
      <c r="L5" s="1277"/>
      <c r="M5" s="1277"/>
    </row>
    <row r="6" spans="1:16" x14ac:dyDescent="0.2">
      <c r="A6" s="688"/>
      <c r="B6" s="689"/>
      <c r="C6" s="689"/>
      <c r="D6" s="689"/>
      <c r="E6" s="689"/>
      <c r="F6" s="689"/>
      <c r="G6" s="689"/>
      <c r="H6" s="689"/>
      <c r="I6" s="689"/>
      <c r="J6" s="689"/>
      <c r="K6" s="689"/>
      <c r="L6" s="689"/>
      <c r="M6" s="689"/>
    </row>
    <row r="7" spans="1:16" x14ac:dyDescent="0.2">
      <c r="A7" s="688">
        <f>SUM(B7:M7)</f>
        <v>99.999999999999986</v>
      </c>
      <c r="B7" s="689">
        <f>'X22.55 DOF'!B7</f>
        <v>8.166261013899323</v>
      </c>
      <c r="C7" s="689">
        <f>'X22.55 DOF'!C7</f>
        <v>11.568572329951966</v>
      </c>
      <c r="D7" s="689">
        <f>'X22.55 DOF'!D7</f>
        <v>7.2154981008562906</v>
      </c>
      <c r="E7" s="689">
        <f>'X22.55 DOF'!E7</f>
        <v>9.2419166332678735</v>
      </c>
      <c r="F7" s="689">
        <f>'X22.55 DOF'!F7</f>
        <v>9.8330208851727097</v>
      </c>
      <c r="G7" s="689">
        <f>'X22.55 DOF'!G7</f>
        <v>9.2943416807774799</v>
      </c>
      <c r="H7" s="689">
        <f>'X22.55 DOF'!H7</f>
        <v>8.0043385741068462</v>
      </c>
      <c r="I7" s="689">
        <f>'X22.55 DOF'!I7</f>
        <v>8.3217292248863224</v>
      </c>
      <c r="J7" s="689">
        <f>'X22.55 DOF'!J7</f>
        <v>7.7260532773968364</v>
      </c>
      <c r="K7" s="689">
        <f>'X22.55 DOF'!K7</f>
        <v>5.4299750223459151</v>
      </c>
      <c r="L7" s="689">
        <f>'X22.55 DOF'!L7</f>
        <v>7.4645860123928554</v>
      </c>
      <c r="M7" s="689">
        <f>'X22.55 DOF'!M7</f>
        <v>7.7337072449455828</v>
      </c>
    </row>
    <row r="8" spans="1:16" ht="13.5" thickBot="1" x14ac:dyDescent="0.25">
      <c r="A8" s="1276"/>
      <c r="B8" s="1276"/>
      <c r="C8" s="1276"/>
      <c r="D8" s="1276"/>
      <c r="E8" s="1276"/>
      <c r="F8" s="1276"/>
      <c r="G8" s="1276"/>
      <c r="H8" s="1276"/>
      <c r="I8" s="1276"/>
      <c r="J8" s="1276"/>
      <c r="K8" s="1276"/>
      <c r="L8" s="1276"/>
      <c r="M8" s="1276"/>
    </row>
    <row r="9" spans="1:16" ht="13.5" thickBot="1" x14ac:dyDescent="0.25">
      <c r="A9" s="690" t="s">
        <v>386</v>
      </c>
      <c r="B9" s="691" t="s">
        <v>1</v>
      </c>
      <c r="C9" s="691" t="s">
        <v>2</v>
      </c>
      <c r="D9" s="691" t="s">
        <v>3</v>
      </c>
      <c r="E9" s="691" t="s">
        <v>4</v>
      </c>
      <c r="F9" s="691" t="s">
        <v>5</v>
      </c>
      <c r="G9" s="691" t="s">
        <v>6</v>
      </c>
      <c r="H9" s="691" t="s">
        <v>7</v>
      </c>
      <c r="I9" s="691" t="s">
        <v>8</v>
      </c>
      <c r="J9" s="691" t="s">
        <v>9</v>
      </c>
      <c r="K9" s="691" t="s">
        <v>10</v>
      </c>
      <c r="L9" s="691" t="s">
        <v>11</v>
      </c>
      <c r="M9" s="691" t="s">
        <v>12</v>
      </c>
    </row>
    <row r="10" spans="1:16" ht="13.5" thickBot="1" x14ac:dyDescent="0.25">
      <c r="A10" s="692">
        <v>7492467594</v>
      </c>
      <c r="B10" s="693">
        <f>$A$10*B7/100</f>
        <v>611854460.10786259</v>
      </c>
      <c r="C10" s="693">
        <f t="shared" ref="C10:L10" si="0">$A$10*C7/100</f>
        <v>866771532.91010177</v>
      </c>
      <c r="D10" s="693">
        <f t="shared" si="0"/>
        <v>540618856.95234299</v>
      </c>
      <c r="E10" s="693">
        <f t="shared" si="0"/>
        <v>692447608.81209123</v>
      </c>
      <c r="F10" s="693">
        <f t="shared" si="0"/>
        <v>736735903.3328172</v>
      </c>
      <c r="G10" s="693">
        <f t="shared" si="0"/>
        <v>696375538.5078876</v>
      </c>
      <c r="H10" s="693">
        <f t="shared" si="0"/>
        <v>599722473.77899706</v>
      </c>
      <c r="I10" s="693">
        <f t="shared" si="0"/>
        <v>623502865.43503511</v>
      </c>
      <c r="J10" s="693">
        <f t="shared" si="0"/>
        <v>578872038.10413289</v>
      </c>
      <c r="K10" s="693">
        <f t="shared" si="0"/>
        <v>406839118.91156197</v>
      </c>
      <c r="L10" s="693">
        <f t="shared" si="0"/>
        <v>559281688.0047915</v>
      </c>
      <c r="M10" s="693">
        <f>$A$10*M7/100</f>
        <v>579445509.14237797</v>
      </c>
      <c r="N10" s="694">
        <f>SUM(B10)</f>
        <v>611854460.10786259</v>
      </c>
      <c r="O10" s="606">
        <f>SUM(B10:C10)</f>
        <v>1478625993.0179644</v>
      </c>
    </row>
    <row r="11" spans="1:16" ht="13.5" thickBot="1" x14ac:dyDescent="0.25">
      <c r="A11" s="692"/>
      <c r="B11" s="695"/>
      <c r="C11" s="696"/>
      <c r="D11" s="696"/>
      <c r="E11" s="696"/>
      <c r="F11" s="696"/>
      <c r="G11" s="696"/>
      <c r="H11" s="696"/>
      <c r="I11" s="696"/>
      <c r="J11" s="696"/>
      <c r="K11" s="696"/>
      <c r="L11" s="696"/>
      <c r="M11" s="697"/>
      <c r="N11" s="694"/>
      <c r="O11" s="606"/>
    </row>
    <row r="12" spans="1:16" ht="13.5" thickBot="1" x14ac:dyDescent="0.25">
      <c r="A12" s="698">
        <v>0.22500000000000001</v>
      </c>
      <c r="B12" s="699">
        <v>0.22500000000000001</v>
      </c>
      <c r="C12" s="700">
        <v>0.22500000000000001</v>
      </c>
      <c r="D12" s="700">
        <v>0.22500000000000001</v>
      </c>
      <c r="E12" s="700">
        <v>0.22500000000000001</v>
      </c>
      <c r="F12" s="700">
        <v>0.22500000000000001</v>
      </c>
      <c r="G12" s="700">
        <v>0.22500000000000001</v>
      </c>
      <c r="H12" s="700">
        <v>0.22500000000000001</v>
      </c>
      <c r="I12" s="700">
        <v>0.22500000000000001</v>
      </c>
      <c r="J12" s="700">
        <v>0.22500000000000001</v>
      </c>
      <c r="K12" s="700">
        <v>0.22500000000000001</v>
      </c>
      <c r="L12" s="700">
        <v>0.22500000000000001</v>
      </c>
      <c r="M12" s="700">
        <v>0.22500000000000001</v>
      </c>
      <c r="N12" s="694"/>
      <c r="O12" s="606"/>
    </row>
    <row r="13" spans="1:16" ht="13.5" thickBot="1" x14ac:dyDescent="0.25">
      <c r="A13" s="692">
        <f>A10*A12</f>
        <v>1685805208.6500001</v>
      </c>
      <c r="B13" s="701">
        <f>B10*B12</f>
        <v>137667253.52426907</v>
      </c>
      <c r="C13" s="701">
        <f>C10*C12</f>
        <v>195023594.90477291</v>
      </c>
      <c r="D13" s="701">
        <f>D10*D12</f>
        <v>121639242.81427717</v>
      </c>
      <c r="E13" s="701">
        <f t="shared" ref="E13:J13" si="1">E10*E12</f>
        <v>155800711.98272052</v>
      </c>
      <c r="F13" s="701">
        <f t="shared" si="1"/>
        <v>165765578.24988386</v>
      </c>
      <c r="G13" s="701">
        <f t="shared" si="1"/>
        <v>156684496.16427472</v>
      </c>
      <c r="H13" s="701">
        <f t="shared" si="1"/>
        <v>134937556.60027435</v>
      </c>
      <c r="I13" s="701">
        <f t="shared" si="1"/>
        <v>140288144.7228829</v>
      </c>
      <c r="J13" s="701">
        <f t="shared" si="1"/>
        <v>130246208.5734299</v>
      </c>
      <c r="K13" s="701">
        <f>K10*K12</f>
        <v>91538801.755101442</v>
      </c>
      <c r="L13" s="701">
        <f>L10*L12</f>
        <v>125838379.8010781</v>
      </c>
      <c r="M13" s="701">
        <f>M10*M12</f>
        <v>130375239.55703504</v>
      </c>
      <c r="N13" s="694">
        <f>SUM(B13)</f>
        <v>137667253.52426907</v>
      </c>
      <c r="O13" s="606">
        <f t="shared" ref="O13:O73" si="2">SUM(B13:C13)</f>
        <v>332690848.42904198</v>
      </c>
    </row>
    <row r="14" spans="1:16" x14ac:dyDescent="0.2">
      <c r="A14" s="702" t="s">
        <v>387</v>
      </c>
      <c r="B14" s="703">
        <v>79519983.975000009</v>
      </c>
      <c r="C14" s="703">
        <v>93406104.225000009</v>
      </c>
      <c r="D14" s="703">
        <v>77611356.900000006</v>
      </c>
      <c r="E14" s="703">
        <v>85589943.075000003</v>
      </c>
      <c r="F14" s="703">
        <v>72480824.325000003</v>
      </c>
      <c r="G14" s="703">
        <v>69571626.975000009</v>
      </c>
      <c r="H14" s="703">
        <v>86727042.900000006</v>
      </c>
      <c r="I14" s="703">
        <v>74664112.950000003</v>
      </c>
      <c r="J14" s="703">
        <v>83212012.575000003</v>
      </c>
      <c r="K14" s="703">
        <v>95450367.375</v>
      </c>
      <c r="L14" s="703">
        <v>74640343.950000003</v>
      </c>
      <c r="M14" s="703">
        <v>83654296.875</v>
      </c>
      <c r="O14" s="606"/>
      <c r="P14" s="606"/>
    </row>
    <row r="15" spans="1:16" ht="13.5" thickBot="1" x14ac:dyDescent="0.25">
      <c r="A15" s="702" t="s">
        <v>388</v>
      </c>
      <c r="B15" s="703">
        <f>B13-B14</f>
        <v>58147269.549269065</v>
      </c>
      <c r="C15" s="703">
        <f t="shared" ref="C15:M15" si="3">C13-C14</f>
        <v>101617490.6797729</v>
      </c>
      <c r="D15" s="703">
        <f t="shared" si="3"/>
        <v>44027885.914277166</v>
      </c>
      <c r="E15" s="703">
        <f t="shared" si="3"/>
        <v>70210768.907720521</v>
      </c>
      <c r="F15" s="703">
        <f t="shared" si="3"/>
        <v>93284753.924883857</v>
      </c>
      <c r="G15" s="703">
        <f t="shared" si="3"/>
        <v>87112869.189274713</v>
      </c>
      <c r="H15" s="703">
        <f t="shared" si="3"/>
        <v>48210513.700274348</v>
      </c>
      <c r="I15" s="703">
        <f t="shared" si="3"/>
        <v>65624031.772882894</v>
      </c>
      <c r="J15" s="703">
        <f t="shared" si="3"/>
        <v>47034195.998429894</v>
      </c>
      <c r="K15" s="703">
        <f t="shared" si="3"/>
        <v>-3911565.6198985577</v>
      </c>
      <c r="L15" s="703">
        <f t="shared" si="3"/>
        <v>51198035.851078093</v>
      </c>
      <c r="M15" s="703">
        <f t="shared" si="3"/>
        <v>46720942.682035044</v>
      </c>
      <c r="O15" s="606"/>
    </row>
    <row r="16" spans="1:16" ht="13.5" thickBot="1" x14ac:dyDescent="0.25">
      <c r="A16" s="704" t="s">
        <v>514</v>
      </c>
      <c r="B16" s="705">
        <f>B14+B15</f>
        <v>137667253.52426907</v>
      </c>
      <c r="C16" s="705">
        <f t="shared" ref="C16:M16" si="4">C14+C15</f>
        <v>195023594.90477291</v>
      </c>
      <c r="D16" s="705">
        <f t="shared" si="4"/>
        <v>121639242.81427717</v>
      </c>
      <c r="E16" s="705">
        <f t="shared" si="4"/>
        <v>155800711.98272052</v>
      </c>
      <c r="F16" s="705">
        <f t="shared" si="4"/>
        <v>165765578.24988386</v>
      </c>
      <c r="G16" s="705">
        <f t="shared" si="4"/>
        <v>156684496.16427472</v>
      </c>
      <c r="H16" s="705">
        <f t="shared" si="4"/>
        <v>134937556.60027435</v>
      </c>
      <c r="I16" s="705">
        <f t="shared" si="4"/>
        <v>140288144.7228829</v>
      </c>
      <c r="J16" s="705">
        <f t="shared" si="4"/>
        <v>130246208.5734299</v>
      </c>
      <c r="K16" s="705">
        <f t="shared" si="4"/>
        <v>91538801.755101442</v>
      </c>
      <c r="L16" s="705">
        <f t="shared" si="4"/>
        <v>125838379.8010781</v>
      </c>
      <c r="M16" s="705">
        <f t="shared" si="4"/>
        <v>130375239.55703504</v>
      </c>
      <c r="O16" s="606"/>
    </row>
    <row r="17" spans="1:15" x14ac:dyDescent="0.2">
      <c r="A17" s="1272" t="s">
        <v>385</v>
      </c>
      <c r="B17" s="1272"/>
      <c r="C17" s="1272"/>
      <c r="D17" s="1272"/>
      <c r="E17" s="1272"/>
      <c r="F17" s="1272"/>
      <c r="G17" s="1272"/>
      <c r="H17" s="1272"/>
      <c r="I17" s="1272"/>
      <c r="J17" s="1272"/>
      <c r="K17" s="1272"/>
      <c r="L17" s="1272"/>
      <c r="M17" s="1272"/>
      <c r="O17" s="606"/>
    </row>
    <row r="18" spans="1:15" x14ac:dyDescent="0.2">
      <c r="A18" s="1277" t="s">
        <v>492</v>
      </c>
      <c r="B18" s="1277"/>
      <c r="C18" s="1277"/>
      <c r="D18" s="1277"/>
      <c r="E18" s="1277"/>
      <c r="F18" s="1277"/>
      <c r="G18" s="1277"/>
      <c r="H18" s="1277"/>
      <c r="I18" s="1277"/>
      <c r="J18" s="1277"/>
      <c r="K18" s="1277"/>
      <c r="L18" s="1277"/>
      <c r="M18" s="1277"/>
      <c r="O18" s="606"/>
    </row>
    <row r="19" spans="1:15" x14ac:dyDescent="0.2">
      <c r="A19" s="688"/>
      <c r="B19" s="689"/>
      <c r="C19" s="689"/>
      <c r="D19" s="689"/>
      <c r="E19" s="689"/>
      <c r="F19" s="689"/>
      <c r="G19" s="689"/>
      <c r="H19" s="689"/>
      <c r="I19" s="689"/>
      <c r="J19" s="689"/>
      <c r="K19" s="689"/>
      <c r="L19" s="689"/>
      <c r="M19" s="689"/>
      <c r="O19" s="606"/>
    </row>
    <row r="20" spans="1:15" ht="13.5" thickBot="1" x14ac:dyDescent="0.25">
      <c r="A20" s="706">
        <f>SUM(B20:M20)</f>
        <v>100.00000000000001</v>
      </c>
      <c r="B20" s="707">
        <f>'X22.55 DOF'!B17</f>
        <v>8.1663143221459595</v>
      </c>
      <c r="C20" s="707">
        <f>'X22.55 DOF'!C17</f>
        <v>11.574903283882662</v>
      </c>
      <c r="D20" s="707">
        <f>'X22.55 DOF'!D17</f>
        <v>7.2137971177216613</v>
      </c>
      <c r="E20" s="707">
        <f>'X22.55 DOF'!E17</f>
        <v>9.2439545972784902</v>
      </c>
      <c r="F20" s="707">
        <f>'X22.55 DOF'!F17</f>
        <v>9.8361495364745029</v>
      </c>
      <c r="G20" s="707">
        <f>'X22.55 DOF'!G17</f>
        <v>9.2964763320056818</v>
      </c>
      <c r="H20" s="707">
        <f>'X22.55 DOF'!H17</f>
        <v>8.0033699856695062</v>
      </c>
      <c r="I20" s="707">
        <f>'X22.55 DOF'!I17</f>
        <v>8.3213463322372316</v>
      </c>
      <c r="J20" s="707">
        <f>'X22.55 DOF'!J17</f>
        <v>7.7245712372083037</v>
      </c>
      <c r="K20" s="707">
        <f>'X22.55 DOF'!K17</f>
        <v>5.4242563517440567</v>
      </c>
      <c r="L20" s="707">
        <f>'X22.55 DOF'!L17</f>
        <v>7.4626216194475852</v>
      </c>
      <c r="M20" s="707">
        <f>'X22.55 DOF'!M17</f>
        <v>7.7322392841843586</v>
      </c>
      <c r="O20" s="606"/>
    </row>
    <row r="21" spans="1:15" ht="13.5" thickBot="1" x14ac:dyDescent="0.25">
      <c r="A21" s="690" t="s">
        <v>386</v>
      </c>
      <c r="B21" s="691" t="s">
        <v>1</v>
      </c>
      <c r="C21" s="691" t="s">
        <v>2</v>
      </c>
      <c r="D21" s="691" t="s">
        <v>3</v>
      </c>
      <c r="E21" s="691" t="s">
        <v>4</v>
      </c>
      <c r="F21" s="691" t="s">
        <v>5</v>
      </c>
      <c r="G21" s="691" t="s">
        <v>6</v>
      </c>
      <c r="H21" s="691" t="s">
        <v>7</v>
      </c>
      <c r="I21" s="691" t="s">
        <v>8</v>
      </c>
      <c r="J21" s="691" t="s">
        <v>9</v>
      </c>
      <c r="K21" s="691" t="s">
        <v>10</v>
      </c>
      <c r="L21" s="691" t="s">
        <v>11</v>
      </c>
      <c r="M21" s="691" t="s">
        <v>12</v>
      </c>
      <c r="O21" s="606"/>
    </row>
    <row r="22" spans="1:15" ht="13.5" thickBot="1" x14ac:dyDescent="0.25">
      <c r="A22" s="692">
        <v>604667887</v>
      </c>
      <c r="B22" s="708">
        <f>$A$22*B20/100</f>
        <v>49379080.257498354</v>
      </c>
      <c r="C22" s="708">
        <f t="shared" ref="C22:M22" si="5">$A$22*C20/100</f>
        <v>69989723.108946905</v>
      </c>
      <c r="D22" s="708">
        <f t="shared" si="5"/>
        <v>43619514.60419447</v>
      </c>
      <c r="E22" s="708">
        <f t="shared" si="5"/>
        <v>55895224.938603207</v>
      </c>
      <c r="F22" s="708">
        <f t="shared" si="5"/>
        <v>59476037.564360663</v>
      </c>
      <c r="G22" s="708">
        <f t="shared" si="5"/>
        <v>56212807.002193861</v>
      </c>
      <c r="H22" s="708">
        <f t="shared" si="5"/>
        <v>48393808.181140006</v>
      </c>
      <c r="I22" s="708">
        <f t="shared" si="5"/>
        <v>50316509.037090868</v>
      </c>
      <c r="J22" s="708">
        <f t="shared" si="5"/>
        <v>46708001.679837205</v>
      </c>
      <c r="K22" s="708">
        <f t="shared" si="5"/>
        <v>32798736.267554075</v>
      </c>
      <c r="L22" s="708">
        <f t="shared" si="5"/>
        <v>45124076.461118899</v>
      </c>
      <c r="M22" s="708">
        <f t="shared" si="5"/>
        <v>46754367.897461489</v>
      </c>
      <c r="N22" s="694">
        <f>SUM(B22)</f>
        <v>49379080.257498354</v>
      </c>
      <c r="O22" s="606">
        <f t="shared" si="2"/>
        <v>119368803.36644526</v>
      </c>
    </row>
    <row r="23" spans="1:15" x14ac:dyDescent="0.2">
      <c r="A23" s="702" t="s">
        <v>387</v>
      </c>
      <c r="B23" s="695">
        <v>35431649</v>
      </c>
      <c r="C23" s="695">
        <v>40934154</v>
      </c>
      <c r="D23" s="695">
        <v>34575072</v>
      </c>
      <c r="E23" s="695">
        <v>38155801</v>
      </c>
      <c r="F23" s="695">
        <v>32272527</v>
      </c>
      <c r="G23" s="695">
        <v>34566214</v>
      </c>
      <c r="H23" s="695">
        <v>38666123</v>
      </c>
      <c r="I23" s="695">
        <v>33252371</v>
      </c>
      <c r="J23" s="695">
        <v>37088604</v>
      </c>
      <c r="K23" s="695">
        <v>37002228</v>
      </c>
      <c r="L23" s="695">
        <v>33241703</v>
      </c>
      <c r="M23" s="695">
        <v>37287098</v>
      </c>
      <c r="O23" s="606"/>
    </row>
    <row r="24" spans="1:15" x14ac:dyDescent="0.2">
      <c r="A24" s="702" t="s">
        <v>388</v>
      </c>
      <c r="B24" s="695">
        <f>B22-B23</f>
        <v>13947431.257498354</v>
      </c>
      <c r="C24" s="695">
        <f t="shared" ref="C24:M24" si="6">C22-C23</f>
        <v>29055569.108946905</v>
      </c>
      <c r="D24" s="695">
        <f t="shared" si="6"/>
        <v>9044442.6041944697</v>
      </c>
      <c r="E24" s="695">
        <f t="shared" si="6"/>
        <v>17739423.938603207</v>
      </c>
      <c r="F24" s="695">
        <f t="shared" si="6"/>
        <v>27203510.564360663</v>
      </c>
      <c r="G24" s="695">
        <f t="shared" si="6"/>
        <v>21646593.002193861</v>
      </c>
      <c r="H24" s="695">
        <f t="shared" si="6"/>
        <v>9727685.1811400056</v>
      </c>
      <c r="I24" s="695">
        <f t="shared" si="6"/>
        <v>17064138.037090868</v>
      </c>
      <c r="J24" s="695">
        <f t="shared" si="6"/>
        <v>9619397.6798372045</v>
      </c>
      <c r="K24" s="695">
        <f t="shared" si="6"/>
        <v>-4203491.7324459255</v>
      </c>
      <c r="L24" s="695">
        <f t="shared" si="6"/>
        <v>11882373.461118899</v>
      </c>
      <c r="M24" s="695">
        <f t="shared" si="6"/>
        <v>9467269.8974614888</v>
      </c>
      <c r="O24" s="606"/>
    </row>
    <row r="25" spans="1:15" x14ac:dyDescent="0.2">
      <c r="A25" s="645">
        <v>0.7</v>
      </c>
      <c r="B25" s="709">
        <f>B24*$A$25</f>
        <v>9763201.8802488465</v>
      </c>
      <c r="C25" s="709">
        <f t="shared" ref="C25:M25" si="7">C24*$A$25</f>
        <v>20338898.376262832</v>
      </c>
      <c r="D25" s="709">
        <f t="shared" si="7"/>
        <v>6331109.8229361288</v>
      </c>
      <c r="E25" s="709">
        <f t="shared" si="7"/>
        <v>12417596.757022245</v>
      </c>
      <c r="F25" s="709">
        <f t="shared" si="7"/>
        <v>19042457.395052463</v>
      </c>
      <c r="G25" s="709">
        <f t="shared" si="7"/>
        <v>15152615.101535702</v>
      </c>
      <c r="H25" s="709">
        <f t="shared" si="7"/>
        <v>6809379.6267980039</v>
      </c>
      <c r="I25" s="709">
        <f t="shared" si="7"/>
        <v>11944896.625963606</v>
      </c>
      <c r="J25" s="709">
        <f t="shared" si="7"/>
        <v>6733578.3758860426</v>
      </c>
      <c r="K25" s="709">
        <f t="shared" si="7"/>
        <v>-2942444.2127121477</v>
      </c>
      <c r="L25" s="709">
        <f t="shared" si="7"/>
        <v>8317661.4227832286</v>
      </c>
      <c r="M25" s="709">
        <f t="shared" si="7"/>
        <v>6627088.9282230418</v>
      </c>
      <c r="O25" s="606"/>
    </row>
    <row r="26" spans="1:15" ht="13.5" thickBot="1" x14ac:dyDescent="0.25">
      <c r="A26" s="710">
        <v>0.3</v>
      </c>
      <c r="B26" s="709">
        <f>B24*$A$26</f>
        <v>4184229.3772495058</v>
      </c>
      <c r="C26" s="709">
        <f t="shared" ref="C26:M26" si="8">C24*$A$26</f>
        <v>8716670.7326840702</v>
      </c>
      <c r="D26" s="709">
        <f t="shared" si="8"/>
        <v>2713332.7812583409</v>
      </c>
      <c r="E26" s="709">
        <f t="shared" si="8"/>
        <v>5321827.1815809617</v>
      </c>
      <c r="F26" s="709">
        <f t="shared" si="8"/>
        <v>8161053.1693081986</v>
      </c>
      <c r="G26" s="709">
        <f t="shared" si="8"/>
        <v>6493977.9006581577</v>
      </c>
      <c r="H26" s="709">
        <f t="shared" si="8"/>
        <v>2918305.5543420017</v>
      </c>
      <c r="I26" s="709">
        <f t="shared" si="8"/>
        <v>5119241.41112726</v>
      </c>
      <c r="J26" s="709">
        <f t="shared" si="8"/>
        <v>2885819.3039511614</v>
      </c>
      <c r="K26" s="709">
        <f t="shared" si="8"/>
        <v>-1261047.5197337775</v>
      </c>
      <c r="L26" s="709">
        <f t="shared" si="8"/>
        <v>3564712.0383356698</v>
      </c>
      <c r="M26" s="709">
        <f t="shared" si="8"/>
        <v>2840180.9692384466</v>
      </c>
      <c r="O26" s="606"/>
    </row>
    <row r="27" spans="1:15" ht="13.5" thickBot="1" x14ac:dyDescent="0.25">
      <c r="A27" s="704" t="s">
        <v>514</v>
      </c>
      <c r="B27" s="709">
        <f>SUM(B25:B26)</f>
        <v>13947431.257498352</v>
      </c>
      <c r="C27" s="709">
        <f t="shared" ref="C27:M27" si="9">SUM(C25:C26)</f>
        <v>29055569.108946905</v>
      </c>
      <c r="D27" s="709">
        <f t="shared" si="9"/>
        <v>9044442.6041944697</v>
      </c>
      <c r="E27" s="709">
        <f t="shared" si="9"/>
        <v>17739423.938603207</v>
      </c>
      <c r="F27" s="709">
        <f t="shared" si="9"/>
        <v>27203510.564360663</v>
      </c>
      <c r="G27" s="709">
        <f t="shared" si="9"/>
        <v>21646593.002193861</v>
      </c>
      <c r="H27" s="709">
        <f t="shared" si="9"/>
        <v>9727685.1811400056</v>
      </c>
      <c r="I27" s="709">
        <f t="shared" si="9"/>
        <v>17064138.037090868</v>
      </c>
      <c r="J27" s="709">
        <f t="shared" si="9"/>
        <v>9619397.6798372045</v>
      </c>
      <c r="K27" s="709">
        <f t="shared" si="9"/>
        <v>-4203491.7324459255</v>
      </c>
      <c r="L27" s="709">
        <f t="shared" si="9"/>
        <v>11882373.461118899</v>
      </c>
      <c r="M27" s="709">
        <f t="shared" si="9"/>
        <v>9467269.8974614888</v>
      </c>
      <c r="N27" s="711"/>
      <c r="O27" s="606"/>
    </row>
    <row r="28" spans="1:15" x14ac:dyDescent="0.2">
      <c r="A28" s="712"/>
      <c r="B28" s="709"/>
      <c r="C28" s="709"/>
      <c r="D28" s="709"/>
      <c r="E28" s="709"/>
      <c r="F28" s="709"/>
      <c r="G28" s="709"/>
      <c r="H28" s="709"/>
      <c r="I28" s="709"/>
      <c r="J28" s="709"/>
      <c r="K28" s="709"/>
      <c r="L28" s="709"/>
      <c r="M28" s="709"/>
      <c r="O28" s="606"/>
    </row>
    <row r="29" spans="1:15" x14ac:dyDescent="0.2">
      <c r="A29" s="712"/>
      <c r="B29" s="709"/>
      <c r="C29" s="709"/>
      <c r="D29" s="709"/>
      <c r="E29" s="709"/>
      <c r="F29" s="709"/>
      <c r="G29" s="709"/>
      <c r="H29" s="709"/>
      <c r="I29" s="709"/>
      <c r="J29" s="709"/>
      <c r="K29" s="709"/>
      <c r="L29" s="709"/>
      <c r="M29" s="709"/>
      <c r="O29" s="606"/>
    </row>
    <row r="30" spans="1:15" x14ac:dyDescent="0.2">
      <c r="A30" s="712"/>
      <c r="B30" s="709"/>
      <c r="C30" s="709"/>
      <c r="D30" s="709"/>
      <c r="E30" s="709"/>
      <c r="F30" s="709"/>
      <c r="G30" s="709"/>
      <c r="H30" s="709"/>
      <c r="I30" s="709"/>
      <c r="J30" s="709"/>
      <c r="K30" s="709"/>
      <c r="L30" s="709"/>
      <c r="M30" s="709"/>
      <c r="O30" s="606"/>
    </row>
    <row r="31" spans="1:15" x14ac:dyDescent="0.2">
      <c r="A31" s="1272" t="s">
        <v>385</v>
      </c>
      <c r="B31" s="1272"/>
      <c r="C31" s="1272"/>
      <c r="D31" s="1272"/>
      <c r="E31" s="1272"/>
      <c r="F31" s="1272"/>
      <c r="G31" s="1272"/>
      <c r="H31" s="1272"/>
      <c r="I31" s="1272"/>
      <c r="J31" s="1272"/>
      <c r="K31" s="1272"/>
      <c r="L31" s="1272"/>
      <c r="M31" s="1272"/>
      <c r="O31" s="606"/>
    </row>
    <row r="32" spans="1:15" x14ac:dyDescent="0.2">
      <c r="A32" s="1277" t="s">
        <v>493</v>
      </c>
      <c r="B32" s="1277"/>
      <c r="C32" s="1277"/>
      <c r="D32" s="1277"/>
      <c r="E32" s="1277"/>
      <c r="F32" s="1277"/>
      <c r="G32" s="1277"/>
      <c r="H32" s="1277"/>
      <c r="I32" s="1277"/>
      <c r="J32" s="1277"/>
      <c r="K32" s="1277"/>
      <c r="L32" s="1277"/>
      <c r="M32" s="1277"/>
      <c r="O32" s="606"/>
    </row>
    <row r="33" spans="1:16" x14ac:dyDescent="0.2">
      <c r="A33" s="688"/>
      <c r="B33" s="689"/>
      <c r="C33" s="689"/>
      <c r="D33" s="689"/>
      <c r="E33" s="689"/>
      <c r="F33" s="689"/>
      <c r="G33" s="689"/>
      <c r="H33" s="689"/>
      <c r="I33" s="689"/>
      <c r="J33" s="689"/>
      <c r="K33" s="689"/>
      <c r="L33" s="689"/>
      <c r="M33" s="689"/>
      <c r="O33" s="606"/>
    </row>
    <row r="34" spans="1:16" ht="13.5" thickBot="1" x14ac:dyDescent="0.25">
      <c r="A34" s="706">
        <f>SUM(B34:M34)</f>
        <v>100</v>
      </c>
      <c r="B34" s="707">
        <f>'X22.55 DOF'!B29</f>
        <v>7.4476929757133821</v>
      </c>
      <c r="C34" s="707">
        <f>'X22.55 DOF'!C29</f>
        <v>16.301775033155113</v>
      </c>
      <c r="D34" s="707">
        <f>'X22.55 DOF'!D29</f>
        <v>6.706596005591865</v>
      </c>
      <c r="E34" s="707">
        <f>'X22.55 DOF'!E29</f>
        <v>6.4310186236963123</v>
      </c>
      <c r="F34" s="707">
        <f>'X22.55 DOF'!F29</f>
        <v>7.2019311309095322</v>
      </c>
      <c r="G34" s="707">
        <f>'X22.55 DOF'!G29</f>
        <v>7.3458827096361157</v>
      </c>
      <c r="H34" s="707">
        <f>'X22.55 DOF'!H29</f>
        <v>7.7109987885564504</v>
      </c>
      <c r="I34" s="707">
        <f>'X22.55 DOF'!I29</f>
        <v>8.2968346130923187</v>
      </c>
      <c r="J34" s="707">
        <f>'X22.55 DOF'!J29</f>
        <v>8.5803496559918031</v>
      </c>
      <c r="K34" s="707">
        <f>'X22.55 DOF'!K29</f>
        <v>8.266278471460673</v>
      </c>
      <c r="L34" s="707">
        <f>'X22.55 DOF'!L29</f>
        <v>7.8650582477633586</v>
      </c>
      <c r="M34" s="707">
        <f>'X22.55 DOF'!M29</f>
        <v>7.8455837444330738</v>
      </c>
      <c r="O34" s="606"/>
    </row>
    <row r="35" spans="1:16" ht="13.5" thickBot="1" x14ac:dyDescent="0.25">
      <c r="A35" s="690" t="s">
        <v>386</v>
      </c>
      <c r="B35" s="691" t="s">
        <v>1</v>
      </c>
      <c r="C35" s="691" t="s">
        <v>2</v>
      </c>
      <c r="D35" s="691" t="s">
        <v>3</v>
      </c>
      <c r="E35" s="691" t="s">
        <v>4</v>
      </c>
      <c r="F35" s="691" t="s">
        <v>5</v>
      </c>
      <c r="G35" s="691" t="s">
        <v>6</v>
      </c>
      <c r="H35" s="691" t="s">
        <v>7</v>
      </c>
      <c r="I35" s="691" t="s">
        <v>8</v>
      </c>
      <c r="J35" s="691" t="s">
        <v>9</v>
      </c>
      <c r="K35" s="691" t="s">
        <v>10</v>
      </c>
      <c r="L35" s="691" t="s">
        <v>11</v>
      </c>
      <c r="M35" s="691" t="s">
        <v>12</v>
      </c>
      <c r="O35" s="606"/>
    </row>
    <row r="36" spans="1:16" ht="13.5" thickBot="1" x14ac:dyDescent="0.25">
      <c r="A36" s="692">
        <v>153029680</v>
      </c>
      <c r="B36" s="708">
        <f>$A$36*B34/100</f>
        <v>11397180.728116667</v>
      </c>
      <c r="C36" s="708">
        <f t="shared" ref="C36:L36" si="10">$A$36*C34/100</f>
        <v>24946554.167557165</v>
      </c>
      <c r="D36" s="708">
        <f t="shared" si="10"/>
        <v>10263082.406250013</v>
      </c>
      <c r="E36" s="708">
        <f t="shared" si="10"/>
        <v>9841367.2205828708</v>
      </c>
      <c r="F36" s="708">
        <f t="shared" si="10"/>
        <v>11021092.163451238</v>
      </c>
      <c r="G36" s="708">
        <f t="shared" si="10"/>
        <v>11241380.803731477</v>
      </c>
      <c r="H36" s="708">
        <f t="shared" si="10"/>
        <v>11800116.770931814</v>
      </c>
      <c r="I36" s="708">
        <f t="shared" si="10"/>
        <v>12696619.458544414</v>
      </c>
      <c r="J36" s="708">
        <f t="shared" si="10"/>
        <v>13130481.621445358</v>
      </c>
      <c r="K36" s="708">
        <f t="shared" si="10"/>
        <v>12649859.492785158</v>
      </c>
      <c r="L36" s="708">
        <f t="shared" si="10"/>
        <v>12035873.468365874</v>
      </c>
      <c r="M36" s="708">
        <f>$A$36*M34/100</f>
        <v>12006071.69823795</v>
      </c>
      <c r="N36" s="694">
        <f>SUM(B36)</f>
        <v>11397180.728116667</v>
      </c>
      <c r="O36" s="606">
        <f t="shared" si="2"/>
        <v>36343734.895673834</v>
      </c>
    </row>
    <row r="37" spans="1:16" ht="13.5" thickBot="1" x14ac:dyDescent="0.25">
      <c r="A37" s="698">
        <v>0.22500000000000001</v>
      </c>
      <c r="B37" s="713">
        <v>0.22500000000000001</v>
      </c>
      <c r="C37" s="713">
        <v>0.22500000000000001</v>
      </c>
      <c r="D37" s="713">
        <v>0.22500000000000001</v>
      </c>
      <c r="E37" s="713">
        <v>0.22500000000000001</v>
      </c>
      <c r="F37" s="713">
        <v>0.22500000000000001</v>
      </c>
      <c r="G37" s="713">
        <v>0.22500000000000001</v>
      </c>
      <c r="H37" s="713">
        <v>0.22500000000000001</v>
      </c>
      <c r="I37" s="713">
        <v>0.22500000000000001</v>
      </c>
      <c r="J37" s="713">
        <v>0.22500000000000001</v>
      </c>
      <c r="K37" s="713">
        <v>0.22500000000000001</v>
      </c>
      <c r="L37" s="713">
        <v>0.22500000000000001</v>
      </c>
      <c r="M37" s="713">
        <v>0.22500000000000001</v>
      </c>
      <c r="N37" s="694"/>
      <c r="O37" s="606"/>
    </row>
    <row r="38" spans="1:16" ht="13.5" thickBot="1" x14ac:dyDescent="0.25">
      <c r="A38" s="692">
        <f t="shared" ref="A38:M38" si="11">A36*A37</f>
        <v>34431678</v>
      </c>
      <c r="B38" s="701">
        <f t="shared" si="11"/>
        <v>2564365.66382625</v>
      </c>
      <c r="C38" s="701">
        <f t="shared" si="11"/>
        <v>5612974.6877003619</v>
      </c>
      <c r="D38" s="701">
        <f t="shared" si="11"/>
        <v>2309193.5414062529</v>
      </c>
      <c r="E38" s="701">
        <f t="shared" si="11"/>
        <v>2214307.624631146</v>
      </c>
      <c r="F38" s="701">
        <f t="shared" si="11"/>
        <v>2479745.7367765284</v>
      </c>
      <c r="G38" s="701">
        <f t="shared" si="11"/>
        <v>2529310.6808395823</v>
      </c>
      <c r="H38" s="701">
        <f t="shared" si="11"/>
        <v>2655026.273459658</v>
      </c>
      <c r="I38" s="701">
        <f t="shared" si="11"/>
        <v>2856739.3781724935</v>
      </c>
      <c r="J38" s="701">
        <f t="shared" si="11"/>
        <v>2954358.3648252054</v>
      </c>
      <c r="K38" s="701">
        <f t="shared" si="11"/>
        <v>2846218.3858766607</v>
      </c>
      <c r="L38" s="701">
        <f t="shared" si="11"/>
        <v>2708071.5303823217</v>
      </c>
      <c r="M38" s="701">
        <f t="shared" si="11"/>
        <v>2701366.1321035386</v>
      </c>
      <c r="N38" s="694">
        <f>SUM(B38)</f>
        <v>2564365.66382625</v>
      </c>
      <c r="O38" s="606">
        <f t="shared" si="2"/>
        <v>8177340.3515266124</v>
      </c>
    </row>
    <row r="39" spans="1:16" x14ac:dyDescent="0.2">
      <c r="A39" s="702" t="s">
        <v>387</v>
      </c>
      <c r="B39" s="703">
        <v>1445775.3033262629</v>
      </c>
      <c r="C39" s="703">
        <v>2205753.7364722979</v>
      </c>
      <c r="D39" s="703">
        <v>1516402.197610155</v>
      </c>
      <c r="E39" s="703">
        <v>1722537.6352045152</v>
      </c>
      <c r="F39" s="703">
        <v>1641136.1151215194</v>
      </c>
      <c r="G39" s="703">
        <v>1715735.0658352086</v>
      </c>
      <c r="H39" s="703">
        <v>1743567.8248831125</v>
      </c>
      <c r="I39" s="703">
        <v>1808863.5888838039</v>
      </c>
      <c r="J39" s="703">
        <v>1749982.8978382845</v>
      </c>
      <c r="K39" s="703">
        <v>1710440.3724332915</v>
      </c>
      <c r="L39" s="703">
        <v>1671584.474964832</v>
      </c>
      <c r="M39" s="703">
        <v>1678220.787426722</v>
      </c>
      <c r="O39" s="606"/>
    </row>
    <row r="40" spans="1:16" ht="13.5" thickBot="1" x14ac:dyDescent="0.25">
      <c r="A40" s="702" t="s">
        <v>388</v>
      </c>
      <c r="B40" s="703">
        <f>B38-B39</f>
        <v>1118590.3604999871</v>
      </c>
      <c r="C40" s="703">
        <f t="shared" ref="C40:M40" si="12">C38-C39</f>
        <v>3407220.951228064</v>
      </c>
      <c r="D40" s="703">
        <f t="shared" si="12"/>
        <v>792791.34379609791</v>
      </c>
      <c r="E40" s="703">
        <f t="shared" si="12"/>
        <v>491769.98942663078</v>
      </c>
      <c r="F40" s="703">
        <f t="shared" si="12"/>
        <v>838609.62165500899</v>
      </c>
      <c r="G40" s="703">
        <f t="shared" si="12"/>
        <v>813575.61500437371</v>
      </c>
      <c r="H40" s="703">
        <f t="shared" si="12"/>
        <v>911458.44857654558</v>
      </c>
      <c r="I40" s="703">
        <f t="shared" si="12"/>
        <v>1047875.7892886896</v>
      </c>
      <c r="J40" s="703">
        <f t="shared" si="12"/>
        <v>1204375.4669869209</v>
      </c>
      <c r="K40" s="703">
        <f t="shared" si="12"/>
        <v>1135778.0134433692</v>
      </c>
      <c r="L40" s="703">
        <f t="shared" si="12"/>
        <v>1036487.0554174897</v>
      </c>
      <c r="M40" s="703">
        <f t="shared" si="12"/>
        <v>1023145.3446768166</v>
      </c>
      <c r="O40" s="606"/>
    </row>
    <row r="41" spans="1:16" ht="13.5" thickBot="1" x14ac:dyDescent="0.25">
      <c r="A41" s="704" t="s">
        <v>514</v>
      </c>
      <c r="B41" s="703">
        <f>B39+B40</f>
        <v>2564365.66382625</v>
      </c>
      <c r="C41" s="703">
        <f t="shared" ref="C41:M41" si="13">C39+C40</f>
        <v>5612974.6877003619</v>
      </c>
      <c r="D41" s="703">
        <f t="shared" si="13"/>
        <v>2309193.5414062529</v>
      </c>
      <c r="E41" s="703">
        <f t="shared" si="13"/>
        <v>2214307.624631146</v>
      </c>
      <c r="F41" s="703">
        <f t="shared" si="13"/>
        <v>2479745.7367765284</v>
      </c>
      <c r="G41" s="703">
        <f t="shared" si="13"/>
        <v>2529310.6808395823</v>
      </c>
      <c r="H41" s="703">
        <f t="shared" si="13"/>
        <v>2655026.273459658</v>
      </c>
      <c r="I41" s="703">
        <f t="shared" si="13"/>
        <v>2856739.3781724935</v>
      </c>
      <c r="J41" s="703">
        <f t="shared" si="13"/>
        <v>2954358.3648252054</v>
      </c>
      <c r="K41" s="703">
        <f t="shared" si="13"/>
        <v>2846218.3858766607</v>
      </c>
      <c r="L41" s="703">
        <f t="shared" si="13"/>
        <v>2708071.5303823217</v>
      </c>
      <c r="M41" s="703">
        <f t="shared" si="13"/>
        <v>2701366.1321035386</v>
      </c>
      <c r="O41" s="606"/>
    </row>
    <row r="42" spans="1:16" x14ac:dyDescent="0.2">
      <c r="A42" s="1272" t="s">
        <v>385</v>
      </c>
      <c r="B42" s="1272"/>
      <c r="C42" s="1272"/>
      <c r="D42" s="1272"/>
      <c r="E42" s="1272"/>
      <c r="F42" s="1272"/>
      <c r="G42" s="1272"/>
      <c r="H42" s="1272"/>
      <c r="I42" s="1272"/>
      <c r="J42" s="1272"/>
      <c r="K42" s="1272"/>
      <c r="L42" s="1272"/>
      <c r="M42" s="1272"/>
      <c r="O42" s="606"/>
    </row>
    <row r="43" spans="1:16" x14ac:dyDescent="0.2">
      <c r="A43" s="1277" t="s">
        <v>494</v>
      </c>
      <c r="B43" s="1277"/>
      <c r="C43" s="1277"/>
      <c r="D43" s="1277"/>
      <c r="E43" s="1277"/>
      <c r="F43" s="1277"/>
      <c r="G43" s="1277"/>
      <c r="H43" s="1277"/>
      <c r="I43" s="1277"/>
      <c r="J43" s="1277"/>
      <c r="K43" s="1277"/>
      <c r="L43" s="1277"/>
      <c r="M43" s="1277"/>
      <c r="O43" s="606"/>
    </row>
    <row r="44" spans="1:16" x14ac:dyDescent="0.2">
      <c r="A44" s="688"/>
      <c r="B44" s="689"/>
      <c r="C44" s="689"/>
      <c r="D44" s="689"/>
      <c r="E44" s="689"/>
      <c r="F44" s="689"/>
      <c r="G44" s="689"/>
      <c r="H44" s="689"/>
      <c r="I44" s="689"/>
      <c r="J44" s="689"/>
      <c r="K44" s="689"/>
      <c r="L44" s="689"/>
      <c r="M44" s="689"/>
      <c r="O44" s="606"/>
    </row>
    <row r="45" spans="1:16" ht="13.5" thickBot="1" x14ac:dyDescent="0.25">
      <c r="A45" s="706">
        <f>SUM(B45:M45)</f>
        <v>100.00000000000003</v>
      </c>
      <c r="B45" s="707">
        <f>'X22.55 DOF'!B38</f>
        <v>8.9422423863200748</v>
      </c>
      <c r="C45" s="707">
        <f>'X22.55 DOF'!C38</f>
        <v>8.4467807486248994</v>
      </c>
      <c r="D45" s="707">
        <f>'X22.55 DOF'!D38</f>
        <v>8.0350099333791842</v>
      </c>
      <c r="E45" s="707">
        <f>'X22.55 DOF'!E38</f>
        <v>7.4385142437006699</v>
      </c>
      <c r="F45" s="707">
        <f>'X22.55 DOF'!F38</f>
        <v>8.5975263454624411</v>
      </c>
      <c r="G45" s="707">
        <f>'X22.55 DOF'!G38</f>
        <v>8.3090089072026956</v>
      </c>
      <c r="H45" s="707">
        <f>'X22.55 DOF'!H38</f>
        <v>8.611117984486139</v>
      </c>
      <c r="I45" s="707">
        <f>'X22.55 DOF'!I38</f>
        <v>8.2855322106613816</v>
      </c>
      <c r="J45" s="707">
        <f>'X22.55 DOF'!J38</f>
        <v>8.4452360396040067</v>
      </c>
      <c r="K45" s="707">
        <f>'X22.55 DOF'!K38</f>
        <v>8.4291728661468799</v>
      </c>
      <c r="L45" s="707">
        <f>'X22.55 DOF'!L38</f>
        <v>8.0847438026994212</v>
      </c>
      <c r="M45" s="707">
        <f>'X22.55 DOF'!M38</f>
        <v>8.3751145317122067</v>
      </c>
      <c r="O45" s="606"/>
    </row>
    <row r="46" spans="1:16" ht="13.5" thickBot="1" x14ac:dyDescent="0.25">
      <c r="A46" s="690" t="s">
        <v>386</v>
      </c>
      <c r="B46" s="691" t="s">
        <v>1</v>
      </c>
      <c r="C46" s="691" t="s">
        <v>2</v>
      </c>
      <c r="D46" s="691" t="s">
        <v>3</v>
      </c>
      <c r="E46" s="691" t="s">
        <v>4</v>
      </c>
      <c r="F46" s="691" t="s">
        <v>5</v>
      </c>
      <c r="G46" s="691" t="s">
        <v>6</v>
      </c>
      <c r="H46" s="691" t="s">
        <v>7</v>
      </c>
      <c r="I46" s="691" t="s">
        <v>8</v>
      </c>
      <c r="J46" s="691" t="s">
        <v>9</v>
      </c>
      <c r="K46" s="691" t="s">
        <v>10</v>
      </c>
      <c r="L46" s="691" t="s">
        <v>11</v>
      </c>
      <c r="M46" s="691" t="s">
        <v>12</v>
      </c>
      <c r="O46" s="606"/>
    </row>
    <row r="47" spans="1:16" ht="13.5" thickBot="1" x14ac:dyDescent="0.25">
      <c r="A47" s="692">
        <v>265620642</v>
      </c>
      <c r="B47" s="714">
        <f>$A$47*B45/100</f>
        <v>23752441.635739502</v>
      </c>
      <c r="C47" s="714">
        <f t="shared" ref="C47:M47" si="14">$A$47*C45/100</f>
        <v>22436393.252829861</v>
      </c>
      <c r="D47" s="714">
        <f t="shared" si="14"/>
        <v>21342644.969805561</v>
      </c>
      <c r="E47" s="714">
        <f t="shared" si="14"/>
        <v>19758229.289379165</v>
      </c>
      <c r="F47" s="714">
        <f t="shared" si="14"/>
        <v>22836804.674936477</v>
      </c>
      <c r="G47" s="714">
        <f t="shared" si="14"/>
        <v>22070442.803148985</v>
      </c>
      <c r="H47" s="714">
        <f t="shared" si="14"/>
        <v>22872906.87376954</v>
      </c>
      <c r="I47" s="714">
        <f t="shared" si="14"/>
        <v>22008083.851075552</v>
      </c>
      <c r="J47" s="714">
        <f t="shared" si="14"/>
        <v>22432290.186811537</v>
      </c>
      <c r="K47" s="714">
        <f t="shared" si="14"/>
        <v>22389623.082349144</v>
      </c>
      <c r="L47" s="714">
        <f t="shared" si="14"/>
        <v>21474748.392785415</v>
      </c>
      <c r="M47" s="714">
        <f t="shared" si="14"/>
        <v>22246032.987369254</v>
      </c>
      <c r="N47" s="694">
        <f>SUM(B47)</f>
        <v>23752441.635739502</v>
      </c>
      <c r="O47" s="606">
        <f t="shared" si="2"/>
        <v>46188834.888569362</v>
      </c>
      <c r="P47" s="606"/>
    </row>
    <row r="48" spans="1:16" ht="13.5" thickBot="1" x14ac:dyDescent="0.25">
      <c r="A48" s="698">
        <v>0.22500000000000001</v>
      </c>
      <c r="B48" s="713">
        <v>0.22500000000000001</v>
      </c>
      <c r="C48" s="713">
        <v>0.22500000000000001</v>
      </c>
      <c r="D48" s="713">
        <v>0.22500000000000001</v>
      </c>
      <c r="E48" s="713">
        <v>0.22500000000000001</v>
      </c>
      <c r="F48" s="713">
        <v>0.22500000000000001</v>
      </c>
      <c r="G48" s="713">
        <v>0.22500000000000001</v>
      </c>
      <c r="H48" s="713">
        <v>0.22500000000000001</v>
      </c>
      <c r="I48" s="713">
        <v>0.22500000000000001</v>
      </c>
      <c r="J48" s="713">
        <v>0.22500000000000001</v>
      </c>
      <c r="K48" s="713">
        <v>0.22500000000000001</v>
      </c>
      <c r="L48" s="713">
        <v>0.22500000000000001</v>
      </c>
      <c r="M48" s="713">
        <v>0.22500000000000001</v>
      </c>
      <c r="N48" s="694"/>
      <c r="O48" s="606"/>
    </row>
    <row r="49" spans="1:16" ht="13.5" thickBot="1" x14ac:dyDescent="0.25">
      <c r="A49" s="692">
        <f t="shared" ref="A49:M49" si="15">A47*A48</f>
        <v>59764644.450000003</v>
      </c>
      <c r="B49" s="701">
        <f t="shared" si="15"/>
        <v>5344299.3680413878</v>
      </c>
      <c r="C49" s="701">
        <f t="shared" si="15"/>
        <v>5048188.4818867184</v>
      </c>
      <c r="D49" s="701">
        <f t="shared" si="15"/>
        <v>4802095.1182062514</v>
      </c>
      <c r="E49" s="701">
        <f t="shared" si="15"/>
        <v>4445601.5901103122</v>
      </c>
      <c r="F49" s="701">
        <f t="shared" si="15"/>
        <v>5138281.0518607078</v>
      </c>
      <c r="G49" s="701">
        <f t="shared" si="15"/>
        <v>4965849.6307085222</v>
      </c>
      <c r="H49" s="701">
        <f t="shared" si="15"/>
        <v>5146404.0465981467</v>
      </c>
      <c r="I49" s="701">
        <f t="shared" si="15"/>
        <v>4951818.8664919995</v>
      </c>
      <c r="J49" s="701">
        <f t="shared" si="15"/>
        <v>5047265.2920325957</v>
      </c>
      <c r="K49" s="701">
        <f t="shared" si="15"/>
        <v>5037665.1935285572</v>
      </c>
      <c r="L49" s="701">
        <f t="shared" si="15"/>
        <v>4831818.3883767184</v>
      </c>
      <c r="M49" s="701">
        <f t="shared" si="15"/>
        <v>5005357.422158082</v>
      </c>
      <c r="N49" s="694">
        <f>SUM(B49)</f>
        <v>5344299.3680413878</v>
      </c>
      <c r="O49" s="606">
        <f t="shared" si="2"/>
        <v>10392487.849928107</v>
      </c>
      <c r="P49" s="606"/>
    </row>
    <row r="50" spans="1:16" x14ac:dyDescent="0.2">
      <c r="A50" s="702" t="s">
        <v>387</v>
      </c>
      <c r="B50" s="703">
        <v>2973029.93</v>
      </c>
      <c r="C50" s="703">
        <v>2991400.51</v>
      </c>
      <c r="D50" s="703">
        <v>3398867.13</v>
      </c>
      <c r="E50" s="703">
        <v>3261038.01</v>
      </c>
      <c r="F50" s="703">
        <v>3480510.59</v>
      </c>
      <c r="G50" s="703">
        <v>3343876.25</v>
      </c>
      <c r="H50" s="703">
        <v>3466561.02</v>
      </c>
      <c r="I50" s="703">
        <v>3440989.09</v>
      </c>
      <c r="J50" s="703">
        <v>3282805.89</v>
      </c>
      <c r="K50" s="703">
        <v>3455841.05</v>
      </c>
      <c r="L50" s="703">
        <v>3328385.93</v>
      </c>
      <c r="M50" s="703">
        <v>2449944.6</v>
      </c>
      <c r="O50" s="606"/>
    </row>
    <row r="51" spans="1:16" ht="13.5" thickBot="1" x14ac:dyDescent="0.25">
      <c r="A51" s="702" t="s">
        <v>388</v>
      </c>
      <c r="B51" s="703">
        <f>B49-B50</f>
        <v>2371269.4380413876</v>
      </c>
      <c r="C51" s="703">
        <f t="shared" ref="C51:M51" si="16">C49-C50</f>
        <v>2056787.9718867186</v>
      </c>
      <c r="D51" s="703">
        <f t="shared" si="16"/>
        <v>1403227.9882062515</v>
      </c>
      <c r="E51" s="703">
        <f t="shared" si="16"/>
        <v>1184563.5801103124</v>
      </c>
      <c r="F51" s="703">
        <f t="shared" si="16"/>
        <v>1657770.461860708</v>
      </c>
      <c r="G51" s="703">
        <f t="shared" si="16"/>
        <v>1621973.3807085222</v>
      </c>
      <c r="H51" s="703">
        <f t="shared" si="16"/>
        <v>1679843.0265981467</v>
      </c>
      <c r="I51" s="703">
        <f t="shared" si="16"/>
        <v>1510829.7764919996</v>
      </c>
      <c r="J51" s="703">
        <f t="shared" si="16"/>
        <v>1764459.4020325956</v>
      </c>
      <c r="K51" s="703">
        <f t="shared" si="16"/>
        <v>1581824.1435285574</v>
      </c>
      <c r="L51" s="703">
        <f t="shared" si="16"/>
        <v>1503432.4583767182</v>
      </c>
      <c r="M51" s="703">
        <f t="shared" si="16"/>
        <v>2555412.8221580819</v>
      </c>
      <c r="O51" s="606"/>
    </row>
    <row r="52" spans="1:16" ht="12.75" customHeight="1" thickBot="1" x14ac:dyDescent="0.25">
      <c r="A52" s="704" t="s">
        <v>514</v>
      </c>
      <c r="B52" s="705">
        <f>B50+B51</f>
        <v>5344299.3680413878</v>
      </c>
      <c r="C52" s="705">
        <f t="shared" ref="C52:M52" si="17">C50+C51</f>
        <v>5048188.4818867184</v>
      </c>
      <c r="D52" s="705">
        <f t="shared" si="17"/>
        <v>4802095.1182062514</v>
      </c>
      <c r="E52" s="705">
        <f t="shared" si="17"/>
        <v>4445601.5901103122</v>
      </c>
      <c r="F52" s="705">
        <f t="shared" si="17"/>
        <v>5138281.0518607078</v>
      </c>
      <c r="G52" s="705">
        <f t="shared" si="17"/>
        <v>4965849.6307085222</v>
      </c>
      <c r="H52" s="705">
        <f t="shared" si="17"/>
        <v>5146404.0465981467</v>
      </c>
      <c r="I52" s="705">
        <f t="shared" si="17"/>
        <v>4951818.8664919995</v>
      </c>
      <c r="J52" s="705">
        <f t="shared" si="17"/>
        <v>5047265.2920325957</v>
      </c>
      <c r="K52" s="705">
        <f t="shared" si="17"/>
        <v>5037665.1935285572</v>
      </c>
      <c r="L52" s="705">
        <f t="shared" si="17"/>
        <v>4831818.3883767184</v>
      </c>
      <c r="M52" s="705">
        <f t="shared" si="17"/>
        <v>5005357.422158082</v>
      </c>
      <c r="O52" s="606"/>
    </row>
    <row r="53" spans="1:16" ht="12.75" customHeight="1" x14ac:dyDescent="0.2">
      <c r="A53" s="715"/>
      <c r="O53" s="606"/>
    </row>
    <row r="54" spans="1:16" x14ac:dyDescent="0.2">
      <c r="A54" s="1272" t="s">
        <v>385</v>
      </c>
      <c r="B54" s="1272"/>
      <c r="C54" s="1272"/>
      <c r="D54" s="1272"/>
      <c r="E54" s="1272"/>
      <c r="F54" s="1272"/>
      <c r="G54" s="1272"/>
      <c r="H54" s="1272"/>
      <c r="I54" s="1272"/>
      <c r="J54" s="1272"/>
      <c r="K54" s="1272"/>
      <c r="L54" s="1272"/>
      <c r="M54" s="1272"/>
      <c r="O54" s="606"/>
    </row>
    <row r="55" spans="1:16" x14ac:dyDescent="0.2">
      <c r="A55" s="1277" t="s">
        <v>495</v>
      </c>
      <c r="B55" s="1277"/>
      <c r="C55" s="1277"/>
      <c r="D55" s="1277"/>
      <c r="E55" s="1277"/>
      <c r="F55" s="1277"/>
      <c r="G55" s="1277"/>
      <c r="H55" s="1277"/>
      <c r="I55" s="1277"/>
      <c r="J55" s="1277"/>
      <c r="K55" s="1277"/>
      <c r="L55" s="1277"/>
      <c r="M55" s="1277"/>
      <c r="O55" s="606"/>
    </row>
    <row r="56" spans="1:16" x14ac:dyDescent="0.2">
      <c r="A56" s="688"/>
      <c r="B56" s="689"/>
      <c r="C56" s="689"/>
      <c r="D56" s="689"/>
      <c r="E56" s="689"/>
      <c r="F56" s="689"/>
      <c r="G56" s="689"/>
      <c r="H56" s="689"/>
      <c r="I56" s="689"/>
      <c r="J56" s="689"/>
      <c r="K56" s="689"/>
      <c r="L56" s="689"/>
      <c r="M56" s="689"/>
      <c r="O56" s="606"/>
    </row>
    <row r="57" spans="1:16" ht="13.5" thickBot="1" x14ac:dyDescent="0.25">
      <c r="A57" s="706">
        <f>SUM(B57:M57)</f>
        <v>99.999999999999972</v>
      </c>
      <c r="B57" s="707">
        <f>'X22.55 DOF'!B47</f>
        <v>13.54790773218291</v>
      </c>
      <c r="C57" s="707">
        <f>'X22.55 DOF'!C47</f>
        <v>4.0756598453910211</v>
      </c>
      <c r="D57" s="707">
        <f>'X22.55 DOF'!D47</f>
        <v>4.0756598453910211</v>
      </c>
      <c r="E57" s="707">
        <f>'X22.55 DOF'!E47</f>
        <v>19.829911167857603</v>
      </c>
      <c r="F57" s="707">
        <f>'X22.55 DOF'!F47</f>
        <v>4.0756598453910211</v>
      </c>
      <c r="G57" s="707">
        <f>'X22.55 DOF'!G47</f>
        <v>4.0756598453910211</v>
      </c>
      <c r="H57" s="707">
        <f>'X22.55 DOF'!H47</f>
        <v>20.638193540564036</v>
      </c>
      <c r="I57" s="707">
        <f>'X22.55 DOF'!I47</f>
        <v>4.0756598453910211</v>
      </c>
      <c r="J57" s="707">
        <f>'X22.55 DOF'!J47</f>
        <v>4.0756598453910211</v>
      </c>
      <c r="K57" s="707">
        <f>'X22.55 DOF'!K47</f>
        <v>13.378708796267277</v>
      </c>
      <c r="L57" s="707">
        <f>'X22.55 DOF'!L47</f>
        <v>4.0756598453910211</v>
      </c>
      <c r="M57" s="707">
        <f>'X22.55 DOF'!M47</f>
        <v>4.0756598453910211</v>
      </c>
      <c r="O57" s="606"/>
    </row>
    <row r="58" spans="1:16" ht="13.5" thickBot="1" x14ac:dyDescent="0.25">
      <c r="A58" s="690" t="s">
        <v>386</v>
      </c>
      <c r="B58" s="691" t="s">
        <v>1</v>
      </c>
      <c r="C58" s="691" t="s">
        <v>2</v>
      </c>
      <c r="D58" s="691" t="s">
        <v>3</v>
      </c>
      <c r="E58" s="691" t="s">
        <v>4</v>
      </c>
      <c r="F58" s="691" t="s">
        <v>5</v>
      </c>
      <c r="G58" s="691" t="s">
        <v>6</v>
      </c>
      <c r="H58" s="691" t="s">
        <v>7</v>
      </c>
      <c r="I58" s="691" t="s">
        <v>8</v>
      </c>
      <c r="J58" s="691" t="s">
        <v>9</v>
      </c>
      <c r="K58" s="691" t="s">
        <v>10</v>
      </c>
      <c r="L58" s="691" t="s">
        <v>11</v>
      </c>
      <c r="M58" s="691" t="s">
        <v>12</v>
      </c>
      <c r="O58" s="606"/>
    </row>
    <row r="59" spans="1:16" ht="13.5" thickBot="1" x14ac:dyDescent="0.25">
      <c r="A59" s="692">
        <v>420326886</v>
      </c>
      <c r="B59" s="708">
        <f>$A$59*B57/100</f>
        <v>56945498.68883764</v>
      </c>
      <c r="C59" s="708">
        <f t="shared" ref="C59:M59" si="18">$A$59*C57/100</f>
        <v>17131094.112084493</v>
      </c>
      <c r="D59" s="708">
        <f t="shared" si="18"/>
        <v>17131094.112084493</v>
      </c>
      <c r="E59" s="708">
        <f t="shared" si="18"/>
        <v>83350448.108422101</v>
      </c>
      <c r="F59" s="708">
        <f t="shared" si="18"/>
        <v>17131094.112084493</v>
      </c>
      <c r="G59" s="708">
        <f t="shared" si="18"/>
        <v>17131094.112084493</v>
      </c>
      <c r="H59" s="708">
        <f t="shared" si="18"/>
        <v>86747876.235705972</v>
      </c>
      <c r="I59" s="708">
        <f t="shared" si="18"/>
        <v>17131094.112084493</v>
      </c>
      <c r="J59" s="708">
        <f t="shared" si="18"/>
        <v>17131094.112084493</v>
      </c>
      <c r="K59" s="708">
        <f t="shared" si="18"/>
        <v>56234310.070358336</v>
      </c>
      <c r="L59" s="708">
        <f t="shared" si="18"/>
        <v>17131094.112084493</v>
      </c>
      <c r="M59" s="708">
        <f t="shared" si="18"/>
        <v>17131094.112084493</v>
      </c>
      <c r="N59" s="694">
        <f>SUM(B59)</f>
        <v>56945498.68883764</v>
      </c>
      <c r="O59" s="606">
        <f t="shared" si="2"/>
        <v>74076592.800922126</v>
      </c>
    </row>
    <row r="60" spans="1:16" ht="13.5" thickBot="1" x14ac:dyDescent="0.25">
      <c r="A60" s="698">
        <v>0.22500000000000001</v>
      </c>
      <c r="B60" s="713">
        <v>0.22500000000000001</v>
      </c>
      <c r="C60" s="713">
        <v>0.22500000000000001</v>
      </c>
      <c r="D60" s="713">
        <v>0.22500000000000001</v>
      </c>
      <c r="E60" s="713">
        <v>0.22500000000000001</v>
      </c>
      <c r="F60" s="713">
        <v>0.22500000000000001</v>
      </c>
      <c r="G60" s="713">
        <v>0.22500000000000001</v>
      </c>
      <c r="H60" s="713">
        <v>0.22500000000000001</v>
      </c>
      <c r="I60" s="713">
        <v>0.22500000000000001</v>
      </c>
      <c r="J60" s="713">
        <v>0.22500000000000001</v>
      </c>
      <c r="K60" s="713">
        <v>0.22500000000000001</v>
      </c>
      <c r="L60" s="713">
        <v>0.22500000000000001</v>
      </c>
      <c r="M60" s="713">
        <v>0.22500000000000001</v>
      </c>
      <c r="N60" s="694"/>
      <c r="O60" s="606"/>
    </row>
    <row r="61" spans="1:16" ht="13.5" thickBot="1" x14ac:dyDescent="0.25">
      <c r="A61" s="692">
        <f>A59*A60</f>
        <v>94573549.350000009</v>
      </c>
      <c r="B61" s="701">
        <f t="shared" ref="B61:M61" si="19">B59*B60</f>
        <v>12812737.204988468</v>
      </c>
      <c r="C61" s="701">
        <f t="shared" si="19"/>
        <v>3854496.175219011</v>
      </c>
      <c r="D61" s="701">
        <f t="shared" si="19"/>
        <v>3854496.175219011</v>
      </c>
      <c r="E61" s="701">
        <f t="shared" si="19"/>
        <v>18753850.824394975</v>
      </c>
      <c r="F61" s="701">
        <f t="shared" si="19"/>
        <v>3854496.175219011</v>
      </c>
      <c r="G61" s="701">
        <f t="shared" si="19"/>
        <v>3854496.175219011</v>
      </c>
      <c r="H61" s="701">
        <f t="shared" si="19"/>
        <v>19518272.153033845</v>
      </c>
      <c r="I61" s="701">
        <f t="shared" si="19"/>
        <v>3854496.175219011</v>
      </c>
      <c r="J61" s="701">
        <f t="shared" si="19"/>
        <v>3854496.175219011</v>
      </c>
      <c r="K61" s="701">
        <f t="shared" si="19"/>
        <v>12652719.765830627</v>
      </c>
      <c r="L61" s="701">
        <f t="shared" si="19"/>
        <v>3854496.175219011</v>
      </c>
      <c r="M61" s="701">
        <f t="shared" si="19"/>
        <v>3854496.175219011</v>
      </c>
      <c r="N61" s="694">
        <f>SUM(B61)</f>
        <v>12812737.204988468</v>
      </c>
      <c r="O61" s="606">
        <f t="shared" si="2"/>
        <v>16667233.380207479</v>
      </c>
    </row>
    <row r="62" spans="1:16" x14ac:dyDescent="0.2">
      <c r="A62" s="702" t="s">
        <v>387</v>
      </c>
      <c r="B62" s="703">
        <v>4226222.5351250712</v>
      </c>
      <c r="C62" s="703">
        <v>3292135.8090934348</v>
      </c>
      <c r="D62" s="703">
        <v>3292135.8090934348</v>
      </c>
      <c r="E62" s="703">
        <v>4973806.6755524464</v>
      </c>
      <c r="F62" s="703">
        <v>3292135.8090934348</v>
      </c>
      <c r="G62" s="703">
        <v>3292135.8090934348</v>
      </c>
      <c r="H62" s="703">
        <v>4182016.5370987086</v>
      </c>
      <c r="I62" s="703">
        <v>3292135.8090934353</v>
      </c>
      <c r="J62" s="703">
        <v>3292135.8090934353</v>
      </c>
      <c r="K62" s="703">
        <v>4360392.779476299</v>
      </c>
      <c r="L62" s="703">
        <v>3292135.8090934358</v>
      </c>
      <c r="M62" s="703">
        <v>3292135.8090934358</v>
      </c>
      <c r="O62" s="606"/>
    </row>
    <row r="63" spans="1:16" ht="13.5" thickBot="1" x14ac:dyDescent="0.25">
      <c r="A63" s="702" t="s">
        <v>388</v>
      </c>
      <c r="B63" s="703">
        <f>B61-B62</f>
        <v>8586514.6698633973</v>
      </c>
      <c r="C63" s="703">
        <f t="shared" ref="C63:M63" si="20">C61-C62</f>
        <v>562360.3661255762</v>
      </c>
      <c r="D63" s="703">
        <f t="shared" si="20"/>
        <v>562360.3661255762</v>
      </c>
      <c r="E63" s="703">
        <f t="shared" si="20"/>
        <v>13780044.148842528</v>
      </c>
      <c r="F63" s="703">
        <f t="shared" si="20"/>
        <v>562360.3661255762</v>
      </c>
      <c r="G63" s="703">
        <f t="shared" si="20"/>
        <v>562360.3661255762</v>
      </c>
      <c r="H63" s="703">
        <f t="shared" si="20"/>
        <v>15336255.615935136</v>
      </c>
      <c r="I63" s="703">
        <f t="shared" si="20"/>
        <v>562360.36612557573</v>
      </c>
      <c r="J63" s="703">
        <f t="shared" si="20"/>
        <v>562360.36612557573</v>
      </c>
      <c r="K63" s="703">
        <f t="shared" si="20"/>
        <v>8292326.9863543278</v>
      </c>
      <c r="L63" s="703">
        <f t="shared" si="20"/>
        <v>562360.36612557527</v>
      </c>
      <c r="M63" s="703">
        <f t="shared" si="20"/>
        <v>562360.36612557527</v>
      </c>
      <c r="O63" s="606"/>
    </row>
    <row r="64" spans="1:16" ht="13.5" thickBot="1" x14ac:dyDescent="0.25">
      <c r="A64" s="704" t="s">
        <v>514</v>
      </c>
      <c r="B64" s="705">
        <f>B62+B63</f>
        <v>12812737.204988468</v>
      </c>
      <c r="C64" s="705">
        <f t="shared" ref="C64:M64" si="21">C62+C63</f>
        <v>3854496.175219011</v>
      </c>
      <c r="D64" s="705">
        <f t="shared" si="21"/>
        <v>3854496.175219011</v>
      </c>
      <c r="E64" s="705">
        <f t="shared" si="21"/>
        <v>18753850.824394975</v>
      </c>
      <c r="F64" s="705">
        <f t="shared" si="21"/>
        <v>3854496.175219011</v>
      </c>
      <c r="G64" s="705">
        <f t="shared" si="21"/>
        <v>3854496.175219011</v>
      </c>
      <c r="H64" s="705">
        <f t="shared" si="21"/>
        <v>19518272.153033845</v>
      </c>
      <c r="I64" s="705">
        <f t="shared" si="21"/>
        <v>3854496.175219011</v>
      </c>
      <c r="J64" s="705">
        <f t="shared" si="21"/>
        <v>3854496.175219011</v>
      </c>
      <c r="K64" s="705">
        <f t="shared" si="21"/>
        <v>12652719.765830627</v>
      </c>
      <c r="L64" s="705">
        <f t="shared" si="21"/>
        <v>3854496.175219011</v>
      </c>
      <c r="M64" s="705">
        <f t="shared" si="21"/>
        <v>3854496.175219011</v>
      </c>
      <c r="O64" s="606"/>
    </row>
    <row r="65" spans="1:15" x14ac:dyDescent="0.2">
      <c r="A65" s="715"/>
      <c r="O65" s="606"/>
    </row>
    <row r="66" spans="1:15" x14ac:dyDescent="0.2">
      <c r="A66" s="1272" t="s">
        <v>385</v>
      </c>
      <c r="B66" s="1272"/>
      <c r="C66" s="1272"/>
      <c r="D66" s="1272"/>
      <c r="E66" s="1272"/>
      <c r="F66" s="1272"/>
      <c r="G66" s="1272"/>
      <c r="H66" s="1272"/>
      <c r="I66" s="1272"/>
      <c r="J66" s="1272"/>
      <c r="K66" s="1272"/>
      <c r="L66" s="1272"/>
      <c r="M66" s="1272"/>
      <c r="O66" s="606"/>
    </row>
    <row r="67" spans="1:15" x14ac:dyDescent="0.2">
      <c r="A67" s="1277" t="s">
        <v>496</v>
      </c>
      <c r="B67" s="1277"/>
      <c r="C67" s="1277"/>
      <c r="D67" s="1277"/>
      <c r="E67" s="1277"/>
      <c r="F67" s="1277"/>
      <c r="G67" s="1277"/>
      <c r="H67" s="1277"/>
      <c r="I67" s="1277"/>
      <c r="J67" s="1277"/>
      <c r="K67" s="1277"/>
      <c r="L67" s="1277"/>
      <c r="M67" s="1277"/>
      <c r="O67" s="606"/>
    </row>
    <row r="68" spans="1:15" x14ac:dyDescent="0.2">
      <c r="A68" s="688"/>
      <c r="B68" s="689"/>
      <c r="C68" s="689"/>
      <c r="D68" s="689"/>
      <c r="E68" s="689"/>
      <c r="F68" s="689"/>
      <c r="G68" s="689"/>
      <c r="H68" s="689"/>
      <c r="I68" s="689"/>
      <c r="J68" s="689"/>
      <c r="K68" s="689"/>
      <c r="L68" s="689"/>
      <c r="M68" s="689"/>
      <c r="O68" s="606"/>
    </row>
    <row r="69" spans="1:15" ht="13.5" thickBot="1" x14ac:dyDescent="0.25">
      <c r="A69" s="706">
        <f>SUM(B69:M69)</f>
        <v>100.00000000000001</v>
      </c>
      <c r="B69" s="707">
        <f>'X22.55 DOF'!B56</f>
        <v>7.2284029839429049</v>
      </c>
      <c r="C69" s="707">
        <f>'X22.55 DOF'!C56</f>
        <v>8.1559786716878531</v>
      </c>
      <c r="D69" s="707">
        <f>'X22.55 DOF'!D56</f>
        <v>7.7479701599466031</v>
      </c>
      <c r="E69" s="707">
        <f>'X22.55 DOF'!E56</f>
        <v>8.6096976590064607</v>
      </c>
      <c r="F69" s="707">
        <f>'X22.55 DOF'!F56</f>
        <v>8.5030398826592979</v>
      </c>
      <c r="G69" s="707">
        <f>'X22.55 DOF'!G56</f>
        <v>8.7888151726581825</v>
      </c>
      <c r="H69" s="707">
        <f>'X22.55 DOF'!H56</f>
        <v>8.3692944411684795</v>
      </c>
      <c r="I69" s="707">
        <f>'X22.55 DOF'!I56</f>
        <v>8.7359941063955819</v>
      </c>
      <c r="J69" s="707">
        <f>'X22.55 DOF'!J56</f>
        <v>8.6703063395735125</v>
      </c>
      <c r="K69" s="707">
        <f>'X22.55 DOF'!K56</f>
        <v>8.2429979937793565</v>
      </c>
      <c r="L69" s="707">
        <f>'X22.55 DOF'!L56</f>
        <v>8.6259503448071744</v>
      </c>
      <c r="M69" s="707">
        <f>'X22.55 DOF'!M56</f>
        <v>8.3215522443745957</v>
      </c>
      <c r="O69" s="606"/>
    </row>
    <row r="70" spans="1:15" ht="13.5" thickBot="1" x14ac:dyDescent="0.25">
      <c r="A70" s="690" t="s">
        <v>386</v>
      </c>
      <c r="B70" s="691" t="s">
        <v>1</v>
      </c>
      <c r="C70" s="691" t="s">
        <v>2</v>
      </c>
      <c r="D70" s="691" t="s">
        <v>3</v>
      </c>
      <c r="E70" s="691" t="s">
        <v>4</v>
      </c>
      <c r="F70" s="691" t="s">
        <v>5</v>
      </c>
      <c r="G70" s="691" t="s">
        <v>6</v>
      </c>
      <c r="H70" s="691" t="s">
        <v>7</v>
      </c>
      <c r="I70" s="691" t="s">
        <v>8</v>
      </c>
      <c r="J70" s="691" t="s">
        <v>9</v>
      </c>
      <c r="K70" s="691" t="s">
        <v>10</v>
      </c>
      <c r="L70" s="691" t="s">
        <v>11</v>
      </c>
      <c r="M70" s="691" t="s">
        <v>12</v>
      </c>
      <c r="O70" s="606"/>
    </row>
    <row r="71" spans="1:15" ht="13.5" thickBot="1" x14ac:dyDescent="0.25">
      <c r="A71" s="692">
        <v>388884231</v>
      </c>
      <c r="B71" s="717">
        <f>$A$71*B69/100</f>
        <v>28110119.357687421</v>
      </c>
      <c r="C71" s="717">
        <f t="shared" ref="C71:M71" si="22">$A$71*C69/100</f>
        <v>31717314.937917322</v>
      </c>
      <c r="D71" s="717">
        <f t="shared" si="22"/>
        <v>30130634.174617819</v>
      </c>
      <c r="E71" s="717">
        <f t="shared" si="22"/>
        <v>33481756.532652277</v>
      </c>
      <c r="F71" s="717">
        <f t="shared" si="22"/>
        <v>33066981.25930291</v>
      </c>
      <c r="G71" s="717">
        <f t="shared" si="22"/>
        <v>34178316.298203096</v>
      </c>
      <c r="H71" s="717">
        <f t="shared" si="22"/>
        <v>32546866.32766379</v>
      </c>
      <c r="I71" s="717">
        <f t="shared" si="22"/>
        <v>33972903.500861779</v>
      </c>
      <c r="J71" s="717">
        <f t="shared" si="22"/>
        <v>33717454.133994706</v>
      </c>
      <c r="K71" s="717">
        <f t="shared" si="22"/>
        <v>32055719.359454278</v>
      </c>
      <c r="L71" s="717">
        <f t="shared" si="22"/>
        <v>33544960.664845228</v>
      </c>
      <c r="M71" s="717">
        <f t="shared" si="22"/>
        <v>32361204.452799387</v>
      </c>
      <c r="N71" s="694">
        <f>SUM(B71)</f>
        <v>28110119.357687421</v>
      </c>
      <c r="O71" s="606">
        <f t="shared" si="2"/>
        <v>59827434.295604743</v>
      </c>
    </row>
    <row r="72" spans="1:15" ht="13.5" thickBot="1" x14ac:dyDescent="0.25">
      <c r="A72" s="698">
        <v>0.22500000000000001</v>
      </c>
      <c r="B72" s="713">
        <v>0.22500000000000001</v>
      </c>
      <c r="C72" s="713">
        <v>0.22500000000000001</v>
      </c>
      <c r="D72" s="713">
        <v>0.22500000000000001</v>
      </c>
      <c r="E72" s="713">
        <v>0.22500000000000001</v>
      </c>
      <c r="F72" s="713">
        <v>0.22500000000000001</v>
      </c>
      <c r="G72" s="713">
        <v>0.22500000000000001</v>
      </c>
      <c r="H72" s="713">
        <v>0.22500000000000001</v>
      </c>
      <c r="I72" s="713">
        <v>0.22500000000000001</v>
      </c>
      <c r="J72" s="713">
        <v>0.22500000000000001</v>
      </c>
      <c r="K72" s="713">
        <v>0.22500000000000001</v>
      </c>
      <c r="L72" s="713">
        <v>0.22500000000000001</v>
      </c>
      <c r="M72" s="713">
        <v>0.22500000000000001</v>
      </c>
      <c r="N72" s="694"/>
      <c r="O72" s="606"/>
    </row>
    <row r="73" spans="1:15" ht="13.5" thickBot="1" x14ac:dyDescent="0.25">
      <c r="A73" s="692">
        <f>A71*A72</f>
        <v>87498951.975000009</v>
      </c>
      <c r="B73" s="701">
        <f t="shared" ref="B73:H73" si="23">B71*B72</f>
        <v>6324776.8554796698</v>
      </c>
      <c r="C73" s="701">
        <f t="shared" si="23"/>
        <v>7136395.8610313972</v>
      </c>
      <c r="D73" s="701">
        <f t="shared" si="23"/>
        <v>6779392.6892890092</v>
      </c>
      <c r="E73" s="701">
        <f t="shared" si="23"/>
        <v>7533395.2198467627</v>
      </c>
      <c r="F73" s="701">
        <f t="shared" si="23"/>
        <v>7440070.7833431549</v>
      </c>
      <c r="G73" s="701">
        <f t="shared" si="23"/>
        <v>7690121.1670956966</v>
      </c>
      <c r="H73" s="701">
        <f t="shared" si="23"/>
        <v>7323044.9237243533</v>
      </c>
      <c r="I73" s="701">
        <f>I71*I72</f>
        <v>7643903.2876939001</v>
      </c>
      <c r="J73" s="701">
        <f>J71*J72</f>
        <v>7586427.1801488092</v>
      </c>
      <c r="K73" s="701">
        <f>K71*K72</f>
        <v>7212536.8558772122</v>
      </c>
      <c r="L73" s="701">
        <f>L71*L72</f>
        <v>7547616.1495901765</v>
      </c>
      <c r="M73" s="701">
        <f>M71*M72</f>
        <v>7281271.0018798625</v>
      </c>
      <c r="N73" s="694">
        <f>SUM(B73)</f>
        <v>6324776.8554796698</v>
      </c>
      <c r="O73" s="606">
        <f t="shared" si="2"/>
        <v>13461172.716511067</v>
      </c>
    </row>
    <row r="74" spans="1:15" x14ac:dyDescent="0.2">
      <c r="A74" s="702" t="s">
        <v>387</v>
      </c>
      <c r="B74" s="703">
        <v>5804455.2000000002</v>
      </c>
      <c r="C74" s="703">
        <v>5840320.9900000002</v>
      </c>
      <c r="D74" s="703">
        <v>6635846.9900000002</v>
      </c>
      <c r="E74" s="703">
        <v>6366753.5199999996</v>
      </c>
      <c r="F74" s="703">
        <v>6795245.21</v>
      </c>
      <c r="G74" s="703">
        <v>6528484.1100000003</v>
      </c>
      <c r="H74" s="703">
        <v>6768010.4000000004</v>
      </c>
      <c r="I74" s="703">
        <v>6718084.6799999997</v>
      </c>
      <c r="J74" s="703">
        <v>6409252.2000000002</v>
      </c>
      <c r="K74" s="703">
        <v>6747081.1699999999</v>
      </c>
      <c r="L74" s="703">
        <v>6498241.7000000002</v>
      </c>
      <c r="M74" s="703">
        <v>4783198.82</v>
      </c>
      <c r="O74" s="606"/>
    </row>
    <row r="75" spans="1:15" ht="13.5" thickBot="1" x14ac:dyDescent="0.25">
      <c r="A75" s="702" t="s">
        <v>388</v>
      </c>
      <c r="B75" s="703">
        <f>B73-B74</f>
        <v>520321.65547966957</v>
      </c>
      <c r="C75" s="703">
        <f t="shared" ref="C75:M75" si="24">C73-C74</f>
        <v>1296074.871031397</v>
      </c>
      <c r="D75" s="703">
        <f t="shared" si="24"/>
        <v>143545.69928900898</v>
      </c>
      <c r="E75" s="703">
        <f t="shared" si="24"/>
        <v>1166641.6998467632</v>
      </c>
      <c r="F75" s="703">
        <f t="shared" si="24"/>
        <v>644825.57334315497</v>
      </c>
      <c r="G75" s="703">
        <f t="shared" si="24"/>
        <v>1161637.0570956962</v>
      </c>
      <c r="H75" s="703">
        <f t="shared" si="24"/>
        <v>555034.52372435294</v>
      </c>
      <c r="I75" s="703">
        <f t="shared" si="24"/>
        <v>925818.60769390035</v>
      </c>
      <c r="J75" s="703">
        <f t="shared" si="24"/>
        <v>1177174.980148809</v>
      </c>
      <c r="K75" s="703">
        <f t="shared" si="24"/>
        <v>465455.68587721232</v>
      </c>
      <c r="L75" s="703">
        <f t="shared" si="24"/>
        <v>1049374.4495901763</v>
      </c>
      <c r="M75" s="703">
        <f t="shared" si="24"/>
        <v>2498072.1818798622</v>
      </c>
      <c r="O75" s="606"/>
    </row>
    <row r="76" spans="1:15" ht="13.5" thickBot="1" x14ac:dyDescent="0.25">
      <c r="A76" s="704" t="s">
        <v>514</v>
      </c>
      <c r="B76" s="705">
        <f>B74+B75</f>
        <v>6324776.8554796698</v>
      </c>
      <c r="C76" s="705">
        <f t="shared" ref="C76:M76" si="25">C74+C75</f>
        <v>7136395.8610313972</v>
      </c>
      <c r="D76" s="705">
        <f t="shared" si="25"/>
        <v>6779392.6892890092</v>
      </c>
      <c r="E76" s="705">
        <f t="shared" si="25"/>
        <v>7533395.2198467627</v>
      </c>
      <c r="F76" s="705">
        <f t="shared" si="25"/>
        <v>7440070.7833431549</v>
      </c>
      <c r="G76" s="705">
        <f t="shared" si="25"/>
        <v>7690121.1670956966</v>
      </c>
      <c r="H76" s="705">
        <f t="shared" si="25"/>
        <v>7323044.9237243533</v>
      </c>
      <c r="I76" s="705">
        <f t="shared" si="25"/>
        <v>7643903.2876939001</v>
      </c>
      <c r="J76" s="705">
        <f t="shared" si="25"/>
        <v>7586427.1801488092</v>
      </c>
      <c r="K76" s="705">
        <f t="shared" si="25"/>
        <v>7212536.8558772122</v>
      </c>
      <c r="L76" s="705">
        <f t="shared" si="25"/>
        <v>7547616.1495901765</v>
      </c>
      <c r="M76" s="705">
        <f t="shared" si="25"/>
        <v>7281271.0018798625</v>
      </c>
      <c r="O76" s="606"/>
    </row>
    <row r="77" spans="1:15" x14ac:dyDescent="0.2">
      <c r="A77" s="715"/>
      <c r="O77" s="606"/>
    </row>
    <row r="78" spans="1:15" x14ac:dyDescent="0.2">
      <c r="A78" s="1272" t="s">
        <v>385</v>
      </c>
      <c r="B78" s="1272"/>
      <c r="C78" s="1272"/>
      <c r="D78" s="1272"/>
      <c r="E78" s="1272"/>
      <c r="F78" s="1272"/>
      <c r="G78" s="1272"/>
      <c r="H78" s="1272"/>
      <c r="I78" s="1272"/>
      <c r="J78" s="1272"/>
      <c r="K78" s="1272"/>
      <c r="L78" s="1272"/>
      <c r="M78" s="1272"/>
      <c r="O78" s="606"/>
    </row>
    <row r="79" spans="1:15" x14ac:dyDescent="0.2">
      <c r="A79" s="1277" t="s">
        <v>497</v>
      </c>
      <c r="B79" s="1277"/>
      <c r="C79" s="1277"/>
      <c r="D79" s="1277"/>
      <c r="E79" s="1277"/>
      <c r="F79" s="1277"/>
      <c r="G79" s="1277"/>
      <c r="H79" s="1277"/>
      <c r="I79" s="1277"/>
      <c r="J79" s="1277"/>
      <c r="K79" s="1277"/>
      <c r="L79" s="1277"/>
      <c r="M79" s="1277"/>
      <c r="O79" s="606"/>
    </row>
    <row r="80" spans="1:15" x14ac:dyDescent="0.2">
      <c r="A80" s="688"/>
      <c r="B80" s="689"/>
      <c r="C80" s="689"/>
      <c r="D80" s="689"/>
      <c r="E80" s="689"/>
      <c r="F80" s="689"/>
      <c r="G80" s="689"/>
      <c r="H80" s="689"/>
      <c r="I80" s="689"/>
      <c r="J80" s="689"/>
      <c r="K80" s="689"/>
      <c r="L80" s="689"/>
      <c r="M80" s="689"/>
      <c r="O80" s="606"/>
    </row>
    <row r="81" spans="1:15" ht="13.5" thickBot="1" x14ac:dyDescent="0.25">
      <c r="A81" s="706">
        <f>SUM(B81:M81)</f>
        <v>100.00000000000001</v>
      </c>
      <c r="B81" s="707">
        <f>'X22.55 DOF'!B65</f>
        <v>9.1874877437318716</v>
      </c>
      <c r="C81" s="707">
        <f>'X22.55 DOF'!C65</f>
        <v>10.632403767015239</v>
      </c>
      <c r="D81" s="707">
        <f>'X22.55 DOF'!D65</f>
        <v>8.4968134502777914</v>
      </c>
      <c r="E81" s="707">
        <f>'X22.55 DOF'!E65</f>
        <v>7.7617921462276138</v>
      </c>
      <c r="F81" s="707">
        <f>'X22.55 DOF'!F65</f>
        <v>8.3195515113527829</v>
      </c>
      <c r="G81" s="707">
        <f>'X22.55 DOF'!G65</f>
        <v>7.0033946486623044</v>
      </c>
      <c r="H81" s="707">
        <f>'X22.55 DOF'!H65</f>
        <v>7.6319300509004373</v>
      </c>
      <c r="I81" s="707">
        <f>'X22.55 DOF'!I65</f>
        <v>8.1273547821264422</v>
      </c>
      <c r="J81" s="707">
        <f>'X22.55 DOF'!J65</f>
        <v>7.8929529189722976</v>
      </c>
      <c r="K81" s="707">
        <f>'X22.55 DOF'!K65</f>
        <v>8.1390428788840072</v>
      </c>
      <c r="L81" s="707">
        <f>'X22.55 DOF'!L65</f>
        <v>8.1565750240203556</v>
      </c>
      <c r="M81" s="707">
        <f>'X22.55 DOF'!M65</f>
        <v>8.6507010778288524</v>
      </c>
      <c r="O81" s="606"/>
    </row>
    <row r="82" spans="1:15" ht="13.5" thickBot="1" x14ac:dyDescent="0.25">
      <c r="A82" s="690" t="s">
        <v>386</v>
      </c>
      <c r="B82" s="691" t="s">
        <v>1</v>
      </c>
      <c r="C82" s="691" t="s">
        <v>2</v>
      </c>
      <c r="D82" s="691" t="s">
        <v>3</v>
      </c>
      <c r="E82" s="691" t="s">
        <v>4</v>
      </c>
      <c r="F82" s="691" t="s">
        <v>5</v>
      </c>
      <c r="G82" s="691" t="s">
        <v>6</v>
      </c>
      <c r="H82" s="691" t="s">
        <v>7</v>
      </c>
      <c r="I82" s="691" t="s">
        <v>8</v>
      </c>
      <c r="J82" s="691" t="s">
        <v>9</v>
      </c>
      <c r="K82" s="691" t="s">
        <v>10</v>
      </c>
      <c r="L82" s="691" t="s">
        <v>11</v>
      </c>
      <c r="M82" s="691" t="s">
        <v>12</v>
      </c>
      <c r="O82" s="606"/>
    </row>
    <row r="83" spans="1:15" ht="13.5" thickBot="1" x14ac:dyDescent="0.25">
      <c r="A83" s="692">
        <v>53130978</v>
      </c>
      <c r="B83" s="718">
        <f>$A$83*B81/100</f>
        <v>4881402.091874877</v>
      </c>
      <c r="C83" s="718">
        <f t="shared" ref="C83:M83" si="26">$A$83*C81/100</f>
        <v>5649100.1063240375</v>
      </c>
      <c r="D83" s="718">
        <f t="shared" si="26"/>
        <v>4514440.0849681338</v>
      </c>
      <c r="E83" s="718">
        <f t="shared" si="26"/>
        <v>4123916.0776179214</v>
      </c>
      <c r="F83" s="718">
        <f t="shared" si="26"/>
        <v>4420259.083195515</v>
      </c>
      <c r="G83" s="718">
        <f t="shared" si="26"/>
        <v>3720972.0700339461</v>
      </c>
      <c r="H83" s="718">
        <f t="shared" si="26"/>
        <v>4054919.0763193001</v>
      </c>
      <c r="I83" s="718">
        <f t="shared" si="26"/>
        <v>4318143.0812735483</v>
      </c>
      <c r="J83" s="718">
        <f t="shared" si="26"/>
        <v>4193603.0789295291</v>
      </c>
      <c r="K83" s="718">
        <f t="shared" si="26"/>
        <v>4324353.0813904284</v>
      </c>
      <c r="L83" s="718">
        <f t="shared" si="26"/>
        <v>4333668.0815657498</v>
      </c>
      <c r="M83" s="718">
        <f t="shared" si="26"/>
        <v>4596202.0865070103</v>
      </c>
      <c r="N83" s="606">
        <f>SUM(B83)</f>
        <v>4881402.091874877</v>
      </c>
      <c r="O83" s="606">
        <f t="shared" ref="O83:O85" si="27">SUM(B83:C83)</f>
        <v>10530502.198198915</v>
      </c>
    </row>
    <row r="84" spans="1:15" ht="13.5" thickBot="1" x14ac:dyDescent="0.25">
      <c r="A84" s="698">
        <v>0.22500000000000001</v>
      </c>
      <c r="B84" s="713">
        <v>0.22500000000000001</v>
      </c>
      <c r="C84" s="713">
        <v>0.22500000000000001</v>
      </c>
      <c r="D84" s="713">
        <v>0.22500000000000001</v>
      </c>
      <c r="E84" s="713">
        <v>0.22500000000000001</v>
      </c>
      <c r="F84" s="713">
        <v>0.22500000000000001</v>
      </c>
      <c r="G84" s="713">
        <v>0.22500000000000001</v>
      </c>
      <c r="H84" s="713">
        <v>0.22500000000000001</v>
      </c>
      <c r="I84" s="713">
        <v>0.22500000000000001</v>
      </c>
      <c r="J84" s="713">
        <v>0.22500000000000001</v>
      </c>
      <c r="K84" s="713">
        <v>0.22500000000000001</v>
      </c>
      <c r="L84" s="713">
        <v>0.22500000000000001</v>
      </c>
      <c r="M84" s="713">
        <v>0.22500000000000001</v>
      </c>
      <c r="N84" s="606"/>
      <c r="O84" s="606"/>
    </row>
    <row r="85" spans="1:15" ht="13.5" thickBot="1" x14ac:dyDescent="0.25">
      <c r="A85" s="692">
        <f t="shared" ref="A85:M85" si="28">A83*A84</f>
        <v>11954470.050000001</v>
      </c>
      <c r="B85" s="701">
        <f t="shared" si="28"/>
        <v>1098315.4706718475</v>
      </c>
      <c r="C85" s="701">
        <f t="shared" si="28"/>
        <v>1271047.5239229086</v>
      </c>
      <c r="D85" s="701">
        <f t="shared" si="28"/>
        <v>1015749.0191178301</v>
      </c>
      <c r="E85" s="701">
        <f t="shared" si="28"/>
        <v>927881.11746403237</v>
      </c>
      <c r="F85" s="701">
        <f t="shared" si="28"/>
        <v>994558.29371899087</v>
      </c>
      <c r="G85" s="701">
        <f t="shared" si="28"/>
        <v>837218.71575763787</v>
      </c>
      <c r="H85" s="701">
        <f t="shared" si="28"/>
        <v>912356.79217184254</v>
      </c>
      <c r="I85" s="701">
        <f t="shared" si="28"/>
        <v>971582.19328654837</v>
      </c>
      <c r="J85" s="701">
        <f t="shared" si="28"/>
        <v>943560.69275914412</v>
      </c>
      <c r="K85" s="701">
        <f t="shared" si="28"/>
        <v>972979.44331284636</v>
      </c>
      <c r="L85" s="701">
        <f t="shared" si="28"/>
        <v>975075.31835229369</v>
      </c>
      <c r="M85" s="701">
        <f t="shared" si="28"/>
        <v>1034145.4694640774</v>
      </c>
      <c r="N85" s="606">
        <f>SUM(B85)</f>
        <v>1098315.4706718475</v>
      </c>
      <c r="O85" s="606">
        <f t="shared" si="27"/>
        <v>2369362.994594756</v>
      </c>
    </row>
    <row r="86" spans="1:15" x14ac:dyDescent="0.2">
      <c r="A86" s="702" t="s">
        <v>387</v>
      </c>
      <c r="B86" s="703">
        <v>630182.47499999998</v>
      </c>
      <c r="C86" s="703">
        <v>453572.32500000001</v>
      </c>
      <c r="D86" s="703">
        <v>421343.77500000002</v>
      </c>
      <c r="E86" s="703">
        <v>466421.4</v>
      </c>
      <c r="F86" s="703">
        <v>407954.92499999999</v>
      </c>
      <c r="G86" s="703">
        <v>436274.32500000001</v>
      </c>
      <c r="H86" s="703">
        <v>435245.4</v>
      </c>
      <c r="I86" s="703">
        <v>416192.625</v>
      </c>
      <c r="J86" s="703">
        <v>432105.07500000001</v>
      </c>
      <c r="K86" s="703">
        <v>412083.67499999999</v>
      </c>
      <c r="L86" s="703">
        <v>462016.125</v>
      </c>
      <c r="M86" s="703">
        <v>503765.77500000002</v>
      </c>
      <c r="N86" s="606"/>
    </row>
    <row r="87" spans="1:15" ht="13.5" thickBot="1" x14ac:dyDescent="0.25">
      <c r="A87" s="702" t="s">
        <v>388</v>
      </c>
      <c r="B87" s="703">
        <f>B85-B86</f>
        <v>468132.99567184749</v>
      </c>
      <c r="C87" s="703">
        <f t="shared" ref="C87:M87" si="29">C85-C86</f>
        <v>817475.19892290863</v>
      </c>
      <c r="D87" s="703">
        <f t="shared" si="29"/>
        <v>594405.24411783007</v>
      </c>
      <c r="E87" s="703">
        <f t="shared" si="29"/>
        <v>461459.71746403235</v>
      </c>
      <c r="F87" s="703">
        <f t="shared" si="29"/>
        <v>586603.36871899082</v>
      </c>
      <c r="G87" s="703">
        <f t="shared" si="29"/>
        <v>400944.39075763786</v>
      </c>
      <c r="H87" s="703">
        <f t="shared" si="29"/>
        <v>477111.39217184251</v>
      </c>
      <c r="I87" s="703">
        <f t="shared" si="29"/>
        <v>555389.56828654837</v>
      </c>
      <c r="J87" s="703">
        <f t="shared" si="29"/>
        <v>511455.61775914411</v>
      </c>
      <c r="K87" s="703">
        <f t="shared" si="29"/>
        <v>560895.76831284631</v>
      </c>
      <c r="L87" s="703">
        <f t="shared" si="29"/>
        <v>513059.19335229369</v>
      </c>
      <c r="M87" s="703">
        <f t="shared" si="29"/>
        <v>530379.69446407736</v>
      </c>
    </row>
    <row r="88" spans="1:15" ht="13.5" thickBot="1" x14ac:dyDescent="0.25">
      <c r="A88" s="704" t="s">
        <v>514</v>
      </c>
      <c r="B88" s="705">
        <f>B86+B87</f>
        <v>1098315.4706718475</v>
      </c>
      <c r="C88" s="705">
        <f t="shared" ref="C88:M88" si="30">C86+C87</f>
        <v>1271047.5239229086</v>
      </c>
      <c r="D88" s="705">
        <f t="shared" si="30"/>
        <v>1015749.0191178301</v>
      </c>
      <c r="E88" s="705">
        <f t="shared" si="30"/>
        <v>927881.11746403237</v>
      </c>
      <c r="F88" s="705">
        <f t="shared" si="30"/>
        <v>994558.29371899087</v>
      </c>
      <c r="G88" s="705">
        <f t="shared" si="30"/>
        <v>837218.71575763787</v>
      </c>
      <c r="H88" s="705">
        <f t="shared" si="30"/>
        <v>912356.79217184254</v>
      </c>
      <c r="I88" s="705">
        <f t="shared" si="30"/>
        <v>971582.19328654837</v>
      </c>
      <c r="J88" s="705">
        <f t="shared" si="30"/>
        <v>943560.69275914412</v>
      </c>
      <c r="K88" s="705">
        <f t="shared" si="30"/>
        <v>972979.44331284636</v>
      </c>
      <c r="L88" s="705">
        <f t="shared" si="30"/>
        <v>975075.31835229369</v>
      </c>
      <c r="M88" s="705">
        <f t="shared" si="30"/>
        <v>1034145.4694640774</v>
      </c>
    </row>
    <row r="89" spans="1:15" x14ac:dyDescent="0.2">
      <c r="A89" s="715"/>
    </row>
    <row r="90" spans="1:15" x14ac:dyDescent="0.2">
      <c r="A90" s="1272" t="s">
        <v>385</v>
      </c>
      <c r="B90" s="1272"/>
      <c r="C90" s="1272"/>
      <c r="D90" s="1272"/>
      <c r="E90" s="1272"/>
      <c r="F90" s="1272"/>
      <c r="G90" s="1272"/>
      <c r="H90" s="1272"/>
      <c r="I90" s="1272"/>
      <c r="J90" s="1272"/>
      <c r="K90" s="1272"/>
      <c r="L90" s="1272"/>
      <c r="M90" s="1272"/>
    </row>
    <row r="91" spans="1:15" x14ac:dyDescent="0.2">
      <c r="A91" s="1277" t="s">
        <v>498</v>
      </c>
      <c r="B91" s="1277"/>
      <c r="C91" s="1277"/>
      <c r="D91" s="1277"/>
      <c r="E91" s="1277"/>
      <c r="F91" s="1277"/>
      <c r="G91" s="1277"/>
      <c r="H91" s="1277"/>
      <c r="I91" s="1277"/>
      <c r="J91" s="1277"/>
      <c r="K91" s="1277"/>
      <c r="L91" s="1277"/>
      <c r="M91" s="1277"/>
    </row>
    <row r="92" spans="1:15" x14ac:dyDescent="0.2">
      <c r="A92" s="719"/>
      <c r="B92" s="689"/>
      <c r="C92" s="689"/>
      <c r="D92" s="689"/>
      <c r="E92" s="689"/>
      <c r="F92" s="689"/>
      <c r="G92" s="689"/>
      <c r="H92" s="689"/>
      <c r="I92" s="689"/>
      <c r="J92" s="689"/>
      <c r="K92" s="689"/>
      <c r="L92" s="689"/>
      <c r="M92" s="689"/>
    </row>
    <row r="93" spans="1:15" ht="13.5" thickBot="1" x14ac:dyDescent="0.25">
      <c r="A93" s="707">
        <f>SUM(B93:M93)</f>
        <v>99.999999999999957</v>
      </c>
      <c r="B93" s="707">
        <f>'X22.55 DOF'!B74</f>
        <v>8.3333333333333321</v>
      </c>
      <c r="C93" s="707">
        <f>'X22.55 DOF'!C74</f>
        <v>8.3333333333333321</v>
      </c>
      <c r="D93" s="707">
        <f>'X22.55 DOF'!D74</f>
        <v>8.3333333333333321</v>
      </c>
      <c r="E93" s="707">
        <f>'X22.55 DOF'!E74</f>
        <v>8.3333333333333321</v>
      </c>
      <c r="F93" s="707">
        <f>'X22.55 DOF'!F74</f>
        <v>8.3333333333333321</v>
      </c>
      <c r="G93" s="707">
        <f>'X22.55 DOF'!G74</f>
        <v>8.3333333333333321</v>
      </c>
      <c r="H93" s="707">
        <f>'X22.55 DOF'!H74</f>
        <v>8.3333333333333321</v>
      </c>
      <c r="I93" s="707">
        <f>'X22.55 DOF'!I74</f>
        <v>8.3333333333333321</v>
      </c>
      <c r="J93" s="707">
        <f>'X22.55 DOF'!J74</f>
        <v>8.3333333333333321</v>
      </c>
      <c r="K93" s="707">
        <f>'X22.55 DOF'!K74</f>
        <v>8.3333333333333321</v>
      </c>
      <c r="L93" s="707">
        <f>'X22.55 DOF'!L74</f>
        <v>8.3333333333333321</v>
      </c>
      <c r="M93" s="707">
        <f>'X22.55 DOF'!M74</f>
        <v>8.3333333333333321</v>
      </c>
    </row>
    <row r="94" spans="1:15" ht="13.5" thickBot="1" x14ac:dyDescent="0.25">
      <c r="A94" s="691" t="s">
        <v>386</v>
      </c>
      <c r="B94" s="691" t="s">
        <v>1</v>
      </c>
      <c r="C94" s="691" t="s">
        <v>2</v>
      </c>
      <c r="D94" s="691" t="s">
        <v>3</v>
      </c>
      <c r="E94" s="691" t="s">
        <v>4</v>
      </c>
      <c r="F94" s="691" t="s">
        <v>5</v>
      </c>
      <c r="G94" s="691" t="s">
        <v>6</v>
      </c>
      <c r="H94" s="691" t="s">
        <v>7</v>
      </c>
      <c r="I94" s="691" t="s">
        <v>8</v>
      </c>
      <c r="J94" s="691" t="s">
        <v>9</v>
      </c>
      <c r="K94" s="691" t="s">
        <v>10</v>
      </c>
      <c r="L94" s="691" t="s">
        <v>11</v>
      </c>
      <c r="M94" s="691" t="s">
        <v>12</v>
      </c>
    </row>
    <row r="95" spans="1:15" ht="13.5" thickBot="1" x14ac:dyDescent="0.25">
      <c r="A95" s="701">
        <v>12592248</v>
      </c>
      <c r="B95" s="718">
        <f>$A$95*B93/100</f>
        <v>1049353.9999999998</v>
      </c>
      <c r="C95" s="718">
        <f t="shared" ref="C95:M95" si="31">$A$95*C93/100</f>
        <v>1049353.9999999998</v>
      </c>
      <c r="D95" s="718">
        <f t="shared" si="31"/>
        <v>1049353.9999999998</v>
      </c>
      <c r="E95" s="718">
        <f t="shared" si="31"/>
        <v>1049353.9999999998</v>
      </c>
      <c r="F95" s="718">
        <f t="shared" si="31"/>
        <v>1049353.9999999998</v>
      </c>
      <c r="G95" s="718">
        <f t="shared" si="31"/>
        <v>1049353.9999999998</v>
      </c>
      <c r="H95" s="718">
        <f t="shared" si="31"/>
        <v>1049353.9999999998</v>
      </c>
      <c r="I95" s="718">
        <f t="shared" si="31"/>
        <v>1049353.9999999998</v>
      </c>
      <c r="J95" s="718">
        <f t="shared" si="31"/>
        <v>1049353.9999999998</v>
      </c>
      <c r="K95" s="718">
        <f t="shared" si="31"/>
        <v>1049353.9999999998</v>
      </c>
      <c r="L95" s="718">
        <f t="shared" si="31"/>
        <v>1049353.9999999998</v>
      </c>
      <c r="M95" s="718">
        <f t="shared" si="31"/>
        <v>1049353.9999999998</v>
      </c>
      <c r="N95" s="606">
        <f>SUM(B95)</f>
        <v>1049353.9999999998</v>
      </c>
    </row>
    <row r="96" spans="1:15" ht="13.5" thickBot="1" x14ac:dyDescent="0.25">
      <c r="A96" s="713">
        <v>0.22500000000000001</v>
      </c>
      <c r="B96" s="713">
        <v>0.22500000000000001</v>
      </c>
      <c r="C96" s="713">
        <v>0.22500000000000001</v>
      </c>
      <c r="D96" s="713">
        <v>0.22500000000000001</v>
      </c>
      <c r="E96" s="713">
        <v>0.22500000000000001</v>
      </c>
      <c r="F96" s="713">
        <v>0.22500000000000001</v>
      </c>
      <c r="G96" s="713">
        <v>0.22500000000000001</v>
      </c>
      <c r="H96" s="713">
        <v>0.22500000000000001</v>
      </c>
      <c r="I96" s="713">
        <v>0.22500000000000001</v>
      </c>
      <c r="J96" s="713">
        <v>0.22500000000000001</v>
      </c>
      <c r="K96" s="713">
        <v>0.22500000000000001</v>
      </c>
      <c r="L96" s="713">
        <v>0.22500000000000001</v>
      </c>
      <c r="M96" s="713">
        <v>0.22500000000000001</v>
      </c>
      <c r="N96" s="606"/>
    </row>
    <row r="97" spans="1:16" ht="13.5" thickBot="1" x14ac:dyDescent="0.25">
      <c r="A97" s="701">
        <f t="shared" ref="A97:M97" si="32">A95*A96</f>
        <v>2833255.8000000003</v>
      </c>
      <c r="B97" s="701">
        <f t="shared" si="32"/>
        <v>236104.64999999997</v>
      </c>
      <c r="C97" s="701">
        <f t="shared" si="32"/>
        <v>236104.64999999997</v>
      </c>
      <c r="D97" s="701">
        <f t="shared" si="32"/>
        <v>236104.64999999997</v>
      </c>
      <c r="E97" s="701">
        <f t="shared" si="32"/>
        <v>236104.64999999997</v>
      </c>
      <c r="F97" s="701">
        <f t="shared" si="32"/>
        <v>236104.64999999997</v>
      </c>
      <c r="G97" s="701">
        <f t="shared" si="32"/>
        <v>236104.64999999997</v>
      </c>
      <c r="H97" s="701">
        <f t="shared" si="32"/>
        <v>236104.64999999997</v>
      </c>
      <c r="I97" s="701">
        <f t="shared" si="32"/>
        <v>236104.64999999997</v>
      </c>
      <c r="J97" s="701">
        <f t="shared" si="32"/>
        <v>236104.64999999997</v>
      </c>
      <c r="K97" s="701">
        <f t="shared" si="32"/>
        <v>236104.64999999997</v>
      </c>
      <c r="L97" s="701">
        <f t="shared" si="32"/>
        <v>236104.64999999997</v>
      </c>
      <c r="M97" s="701">
        <f t="shared" si="32"/>
        <v>236104.64999999997</v>
      </c>
      <c r="N97" s="606">
        <f>SUM(B97)</f>
        <v>236104.64999999997</v>
      </c>
    </row>
    <row r="98" spans="1:16" x14ac:dyDescent="0.2">
      <c r="A98" s="703" t="s">
        <v>387</v>
      </c>
      <c r="B98" s="703">
        <v>157893.75</v>
      </c>
      <c r="C98" s="703">
        <v>157893.75</v>
      </c>
      <c r="D98" s="703">
        <v>157893.75</v>
      </c>
      <c r="E98" s="703">
        <v>157893.75</v>
      </c>
      <c r="F98" s="703">
        <v>157893.75</v>
      </c>
      <c r="G98" s="703">
        <v>157893.75</v>
      </c>
      <c r="H98" s="703">
        <v>157893.75</v>
      </c>
      <c r="I98" s="703">
        <v>157893.75</v>
      </c>
      <c r="J98" s="703">
        <v>157893.75</v>
      </c>
      <c r="K98" s="703">
        <v>157893.75</v>
      </c>
      <c r="L98" s="703">
        <v>157893.75</v>
      </c>
      <c r="M98" s="703">
        <v>157894.875</v>
      </c>
    </row>
    <row r="99" spans="1:16" ht="13.5" thickBot="1" x14ac:dyDescent="0.25">
      <c r="A99" s="703" t="s">
        <v>388</v>
      </c>
      <c r="B99" s="703">
        <f>B97-B98</f>
        <v>78210.899999999965</v>
      </c>
      <c r="C99" s="703">
        <f t="shared" ref="C99:M99" si="33">C97-C98</f>
        <v>78210.899999999965</v>
      </c>
      <c r="D99" s="703">
        <f t="shared" si="33"/>
        <v>78210.899999999965</v>
      </c>
      <c r="E99" s="703">
        <f t="shared" si="33"/>
        <v>78210.899999999965</v>
      </c>
      <c r="F99" s="703">
        <f t="shared" si="33"/>
        <v>78210.899999999965</v>
      </c>
      <c r="G99" s="703">
        <f t="shared" si="33"/>
        <v>78210.899999999965</v>
      </c>
      <c r="H99" s="703">
        <f t="shared" si="33"/>
        <v>78210.899999999965</v>
      </c>
      <c r="I99" s="703">
        <f t="shared" si="33"/>
        <v>78210.899999999965</v>
      </c>
      <c r="J99" s="703">
        <f t="shared" si="33"/>
        <v>78210.899999999965</v>
      </c>
      <c r="K99" s="703">
        <f t="shared" si="33"/>
        <v>78210.899999999965</v>
      </c>
      <c r="L99" s="703">
        <f t="shared" si="33"/>
        <v>78210.899999999965</v>
      </c>
      <c r="M99" s="703">
        <f t="shared" si="33"/>
        <v>78209.774999999965</v>
      </c>
    </row>
    <row r="100" spans="1:16" ht="13.5" thickBot="1" x14ac:dyDescent="0.25">
      <c r="A100" s="704" t="s">
        <v>514</v>
      </c>
      <c r="B100" s="705">
        <f>B98+B99</f>
        <v>236104.64999999997</v>
      </c>
      <c r="C100" s="705">
        <f t="shared" ref="C100:M100" si="34">C98+C99</f>
        <v>236104.64999999997</v>
      </c>
      <c r="D100" s="705">
        <f t="shared" si="34"/>
        <v>236104.64999999997</v>
      </c>
      <c r="E100" s="705">
        <f t="shared" si="34"/>
        <v>236104.64999999997</v>
      </c>
      <c r="F100" s="705">
        <f t="shared" si="34"/>
        <v>236104.64999999997</v>
      </c>
      <c r="G100" s="705">
        <f t="shared" si="34"/>
        <v>236104.64999999997</v>
      </c>
      <c r="H100" s="705">
        <f t="shared" si="34"/>
        <v>236104.64999999997</v>
      </c>
      <c r="I100" s="705">
        <f t="shared" si="34"/>
        <v>236104.64999999997</v>
      </c>
      <c r="J100" s="705">
        <f t="shared" si="34"/>
        <v>236104.64999999997</v>
      </c>
      <c r="K100" s="705">
        <f t="shared" si="34"/>
        <v>236104.64999999997</v>
      </c>
      <c r="L100" s="705">
        <f t="shared" si="34"/>
        <v>236104.64999999997</v>
      </c>
      <c r="M100" s="705">
        <f t="shared" si="34"/>
        <v>236104.64999999997</v>
      </c>
    </row>
    <row r="101" spans="1:16" x14ac:dyDescent="0.2">
      <c r="A101" s="1278"/>
      <c r="B101" s="1278"/>
      <c r="C101" s="1278"/>
      <c r="D101" s="1278"/>
      <c r="E101" s="1278"/>
      <c r="F101" s="1278"/>
      <c r="G101" s="1278"/>
      <c r="H101" s="1278"/>
      <c r="I101" s="1278"/>
      <c r="J101" s="1278"/>
      <c r="K101" s="1278"/>
      <c r="L101" s="1278"/>
      <c r="M101" s="1278"/>
    </row>
    <row r="102" spans="1:16" x14ac:dyDescent="0.2">
      <c r="A102" s="836"/>
      <c r="B102" s="836"/>
      <c r="C102" s="836"/>
      <c r="D102" s="836"/>
      <c r="E102" s="836"/>
      <c r="F102" s="836"/>
      <c r="G102" s="836"/>
      <c r="H102" s="836"/>
      <c r="I102" s="836"/>
      <c r="J102" s="836"/>
      <c r="K102" s="836"/>
      <c r="L102" s="836"/>
      <c r="M102" s="836"/>
    </row>
    <row r="103" spans="1:16" x14ac:dyDescent="0.2">
      <c r="A103" s="1272" t="s">
        <v>385</v>
      </c>
      <c r="B103" s="1272"/>
      <c r="C103" s="1272"/>
      <c r="D103" s="1272"/>
      <c r="E103" s="1272"/>
      <c r="F103" s="1272"/>
      <c r="G103" s="1272"/>
      <c r="H103" s="1272"/>
      <c r="I103" s="1272"/>
      <c r="J103" s="1272"/>
      <c r="K103" s="1272"/>
      <c r="L103" s="1272"/>
      <c r="M103" s="1272"/>
    </row>
    <row r="104" spans="1:16" x14ac:dyDescent="0.2">
      <c r="A104" s="1277" t="s">
        <v>499</v>
      </c>
      <c r="B104" s="1277"/>
      <c r="C104" s="1277"/>
      <c r="D104" s="1277"/>
      <c r="E104" s="1277"/>
      <c r="F104" s="1277"/>
      <c r="G104" s="1277"/>
      <c r="H104" s="1277"/>
      <c r="I104" s="1277"/>
      <c r="J104" s="1277"/>
      <c r="K104" s="1277"/>
      <c r="L104" s="1277"/>
      <c r="M104" s="1277"/>
    </row>
    <row r="105" spans="1:16" x14ac:dyDescent="0.2">
      <c r="A105" s="688"/>
      <c r="B105" s="689"/>
      <c r="C105" s="689"/>
      <c r="D105" s="689"/>
      <c r="E105" s="689"/>
      <c r="F105" s="689"/>
      <c r="G105" s="689"/>
      <c r="H105" s="689"/>
      <c r="I105" s="689"/>
      <c r="J105" s="689"/>
      <c r="K105" s="689"/>
      <c r="L105" s="689"/>
      <c r="M105" s="689"/>
    </row>
    <row r="106" spans="1:16" ht="13.5" thickBot="1" x14ac:dyDescent="0.25">
      <c r="A106" s="706">
        <f>SUM(B106:M106)</f>
        <v>99.999999999999986</v>
      </c>
      <c r="B106" s="707">
        <v>11.4799775639842</v>
      </c>
      <c r="C106" s="707">
        <v>8.2205002016884894</v>
      </c>
      <c r="D106" s="707">
        <v>7.6271264178392419</v>
      </c>
      <c r="E106" s="707">
        <v>8.4486521507363079</v>
      </c>
      <c r="F106" s="707">
        <v>7.3950324295005618</v>
      </c>
      <c r="G106" s="707">
        <v>7.9243134782395881</v>
      </c>
      <c r="H106" s="707">
        <v>7.9660192259226603</v>
      </c>
      <c r="I106" s="707">
        <v>7.685023390092109</v>
      </c>
      <c r="J106" s="707">
        <v>7.9626149171669605</v>
      </c>
      <c r="K106" s="707">
        <v>7.5835623366890621</v>
      </c>
      <c r="L106" s="707">
        <v>8.5190988047436367</v>
      </c>
      <c r="M106" s="707">
        <v>9.1880790833971826</v>
      </c>
    </row>
    <row r="107" spans="1:16" ht="13.5" thickBot="1" x14ac:dyDescent="0.25">
      <c r="A107" s="690" t="s">
        <v>386</v>
      </c>
      <c r="B107" s="691" t="s">
        <v>1</v>
      </c>
      <c r="C107" s="691" t="s">
        <v>2</v>
      </c>
      <c r="D107" s="691" t="s">
        <v>3</v>
      </c>
      <c r="E107" s="691" t="s">
        <v>4</v>
      </c>
      <c r="F107" s="691" t="s">
        <v>5</v>
      </c>
      <c r="G107" s="691" t="s">
        <v>6</v>
      </c>
      <c r="H107" s="691" t="s">
        <v>7</v>
      </c>
      <c r="I107" s="691" t="s">
        <v>8</v>
      </c>
      <c r="J107" s="691" t="s">
        <v>9</v>
      </c>
      <c r="K107" s="691" t="s">
        <v>10</v>
      </c>
      <c r="L107" s="691" t="s">
        <v>11</v>
      </c>
      <c r="M107" s="691" t="s">
        <v>12</v>
      </c>
    </row>
    <row r="108" spans="1:16" ht="13.5" thickBot="1" x14ac:dyDescent="0.25">
      <c r="A108" s="692">
        <v>41615671</v>
      </c>
      <c r="B108" s="718">
        <f>B83+B95</f>
        <v>5930756.091874877</v>
      </c>
      <c r="C108" s="718">
        <f t="shared" ref="C108:M108" si="35">C83+C95</f>
        <v>6698454.1063240375</v>
      </c>
      <c r="D108" s="718">
        <f t="shared" si="35"/>
        <v>5563794.0849681338</v>
      </c>
      <c r="E108" s="718">
        <f t="shared" si="35"/>
        <v>5173270.0776179209</v>
      </c>
      <c r="F108" s="718">
        <f t="shared" si="35"/>
        <v>5469613.083195515</v>
      </c>
      <c r="G108" s="718">
        <f t="shared" si="35"/>
        <v>4770326.0700339461</v>
      </c>
      <c r="H108" s="718">
        <f t="shared" si="35"/>
        <v>5104273.0763192996</v>
      </c>
      <c r="I108" s="718">
        <f t="shared" si="35"/>
        <v>5367497.0812735483</v>
      </c>
      <c r="J108" s="718">
        <f t="shared" si="35"/>
        <v>5242957.0789295286</v>
      </c>
      <c r="K108" s="718">
        <f t="shared" si="35"/>
        <v>5373707.0813904284</v>
      </c>
      <c r="L108" s="718">
        <f t="shared" si="35"/>
        <v>5383022.0815657498</v>
      </c>
      <c r="M108" s="718">
        <f t="shared" si="35"/>
        <v>5645556.0865070103</v>
      </c>
      <c r="N108" s="694">
        <f>SUM(B108)</f>
        <v>5930756.091874877</v>
      </c>
      <c r="P108" s="606"/>
    </row>
    <row r="109" spans="1:16" ht="13.5" thickBot="1" x14ac:dyDescent="0.25">
      <c r="A109" s="698">
        <v>0.22500000000000001</v>
      </c>
      <c r="B109" s="713">
        <v>0.22500000000000001</v>
      </c>
      <c r="C109" s="713">
        <v>0.22500000000000001</v>
      </c>
      <c r="D109" s="713">
        <v>0.22500000000000001</v>
      </c>
      <c r="E109" s="713">
        <v>0.22500000000000001</v>
      </c>
      <c r="F109" s="713">
        <v>0.22500000000000001</v>
      </c>
      <c r="G109" s="713">
        <v>0.22500000000000001</v>
      </c>
      <c r="H109" s="713">
        <v>0.22500000000000001</v>
      </c>
      <c r="I109" s="713">
        <v>0.22500000000000001</v>
      </c>
      <c r="J109" s="713">
        <v>0.22500000000000001</v>
      </c>
      <c r="K109" s="713">
        <v>0.22500000000000001</v>
      </c>
      <c r="L109" s="713">
        <v>0.22500000000000001</v>
      </c>
      <c r="M109" s="713">
        <v>0.22500000000000001</v>
      </c>
      <c r="N109" s="694"/>
      <c r="P109" s="606"/>
    </row>
    <row r="110" spans="1:16" ht="13.5" thickBot="1" x14ac:dyDescent="0.25">
      <c r="A110" s="692">
        <f>A108*A109</f>
        <v>9363525.9749999996</v>
      </c>
      <c r="B110" s="701">
        <f>B85+B97</f>
        <v>1334420.1206718474</v>
      </c>
      <c r="C110" s="701">
        <f t="shared" ref="C110:M110" si="36">C85+C97</f>
        <v>1507152.1739229085</v>
      </c>
      <c r="D110" s="701">
        <f t="shared" si="36"/>
        <v>1251853.66911783</v>
      </c>
      <c r="E110" s="701">
        <f t="shared" si="36"/>
        <v>1163985.7674640324</v>
      </c>
      <c r="F110" s="701">
        <f t="shared" si="36"/>
        <v>1230662.9437189908</v>
      </c>
      <c r="G110" s="701">
        <f t="shared" si="36"/>
        <v>1073323.3657576379</v>
      </c>
      <c r="H110" s="701">
        <f t="shared" si="36"/>
        <v>1148461.4421718426</v>
      </c>
      <c r="I110" s="701">
        <f t="shared" si="36"/>
        <v>1207686.8432865483</v>
      </c>
      <c r="J110" s="701">
        <f t="shared" si="36"/>
        <v>1179665.342759144</v>
      </c>
      <c r="K110" s="701">
        <f t="shared" si="36"/>
        <v>1209084.0933128463</v>
      </c>
      <c r="L110" s="701">
        <f t="shared" si="36"/>
        <v>1211179.9683522936</v>
      </c>
      <c r="M110" s="701">
        <f t="shared" si="36"/>
        <v>1270250.1194640773</v>
      </c>
      <c r="N110" s="694">
        <f>SUM(B110)</f>
        <v>1334420.1206718474</v>
      </c>
    </row>
    <row r="111" spans="1:16" x14ac:dyDescent="0.2">
      <c r="A111" s="702" t="s">
        <v>387</v>
      </c>
      <c r="B111" s="703">
        <v>630182.47499999998</v>
      </c>
      <c r="C111" s="703">
        <v>453572.32500000001</v>
      </c>
      <c r="D111" s="703">
        <v>421343.77500000002</v>
      </c>
      <c r="E111" s="703">
        <v>466421.4</v>
      </c>
      <c r="F111" s="703">
        <v>407954.92499999999</v>
      </c>
      <c r="G111" s="703">
        <v>436274.32500000001</v>
      </c>
      <c r="H111" s="703">
        <v>435245.4</v>
      </c>
      <c r="I111" s="703">
        <v>416192.625</v>
      </c>
      <c r="J111" s="703">
        <v>432105.07500000001</v>
      </c>
      <c r="K111" s="703">
        <v>412083.67499999999</v>
      </c>
      <c r="L111" s="703">
        <v>462016.125</v>
      </c>
      <c r="M111" s="703">
        <v>503765.77500000002</v>
      </c>
    </row>
    <row r="112" spans="1:16" ht="13.5" thickBot="1" x14ac:dyDescent="0.25">
      <c r="A112" s="702" t="s">
        <v>388</v>
      </c>
      <c r="B112" s="703">
        <f>B110-B111</f>
        <v>704237.64567184739</v>
      </c>
      <c r="C112" s="703">
        <f t="shared" ref="C112:M112" si="37">C110-C111</f>
        <v>1053579.8489229085</v>
      </c>
      <c r="D112" s="703">
        <f t="shared" si="37"/>
        <v>830509.89411782997</v>
      </c>
      <c r="E112" s="703">
        <f t="shared" si="37"/>
        <v>697564.36746403237</v>
      </c>
      <c r="F112" s="703">
        <f t="shared" si="37"/>
        <v>822708.01871899073</v>
      </c>
      <c r="G112" s="703">
        <f t="shared" si="37"/>
        <v>637049.04075763794</v>
      </c>
      <c r="H112" s="703">
        <f t="shared" si="37"/>
        <v>713216.04217184254</v>
      </c>
      <c r="I112" s="703">
        <f t="shared" si="37"/>
        <v>791494.21828654828</v>
      </c>
      <c r="J112" s="703">
        <f t="shared" si="37"/>
        <v>747560.26775914407</v>
      </c>
      <c r="K112" s="703">
        <f t="shared" si="37"/>
        <v>797000.41831284622</v>
      </c>
      <c r="L112" s="703">
        <f t="shared" si="37"/>
        <v>749163.8433522936</v>
      </c>
      <c r="M112" s="703">
        <f t="shared" si="37"/>
        <v>766484.34446407727</v>
      </c>
    </row>
    <row r="113" spans="1:14" ht="13.5" thickBot="1" x14ac:dyDescent="0.25">
      <c r="A113" s="704" t="s">
        <v>514</v>
      </c>
      <c r="B113" s="705">
        <f>B111+B112</f>
        <v>1334420.1206718474</v>
      </c>
      <c r="C113" s="705">
        <f t="shared" ref="C113:M113" si="38">C111+C112</f>
        <v>1507152.1739229085</v>
      </c>
      <c r="D113" s="705">
        <f t="shared" si="38"/>
        <v>1251853.66911783</v>
      </c>
      <c r="E113" s="705">
        <f t="shared" si="38"/>
        <v>1163985.7674640324</v>
      </c>
      <c r="F113" s="705">
        <f t="shared" si="38"/>
        <v>1230662.9437189908</v>
      </c>
      <c r="G113" s="705">
        <f t="shared" si="38"/>
        <v>1073323.3657576379</v>
      </c>
      <c r="H113" s="705">
        <f t="shared" si="38"/>
        <v>1148461.4421718426</v>
      </c>
      <c r="I113" s="705">
        <f t="shared" si="38"/>
        <v>1207686.8432865483</v>
      </c>
      <c r="J113" s="705">
        <f t="shared" si="38"/>
        <v>1179665.342759144</v>
      </c>
      <c r="K113" s="705">
        <f t="shared" si="38"/>
        <v>1209084.0933128463</v>
      </c>
      <c r="L113" s="705">
        <f t="shared" si="38"/>
        <v>1211179.9683522936</v>
      </c>
      <c r="M113" s="705">
        <f t="shared" si="38"/>
        <v>1270250.1194640773</v>
      </c>
    </row>
    <row r="114" spans="1:14" x14ac:dyDescent="0.2">
      <c r="A114" s="837"/>
      <c r="B114" s="836"/>
      <c r="C114" s="836"/>
      <c r="D114" s="836"/>
      <c r="E114" s="836"/>
      <c r="F114" s="836"/>
      <c r="G114" s="836"/>
      <c r="H114" s="836"/>
      <c r="I114" s="836"/>
      <c r="J114" s="836"/>
      <c r="K114" s="836"/>
      <c r="L114" s="836"/>
      <c r="M114" s="836"/>
    </row>
    <row r="115" spans="1:14" x14ac:dyDescent="0.2">
      <c r="A115" s="1279"/>
      <c r="B115" s="1279"/>
      <c r="C115" s="1279"/>
      <c r="D115" s="1279"/>
      <c r="E115" s="1279"/>
      <c r="F115" s="1279"/>
      <c r="G115" s="1279"/>
      <c r="H115" s="1279"/>
      <c r="I115" s="1279"/>
      <c r="J115" s="1279"/>
      <c r="K115" s="1279"/>
      <c r="L115" s="1279"/>
      <c r="M115" s="1279"/>
    </row>
    <row r="116" spans="1:14" x14ac:dyDescent="0.2">
      <c r="A116" s="1272" t="s">
        <v>385</v>
      </c>
      <c r="B116" s="1272"/>
      <c r="C116" s="1272"/>
      <c r="D116" s="1272"/>
      <c r="E116" s="1272"/>
      <c r="F116" s="1272"/>
      <c r="G116" s="1272"/>
      <c r="H116" s="1272"/>
      <c r="I116" s="1272"/>
      <c r="J116" s="1272"/>
      <c r="K116" s="1272"/>
      <c r="L116" s="1272"/>
      <c r="M116" s="1272"/>
    </row>
    <row r="117" spans="1:14" x14ac:dyDescent="0.2">
      <c r="A117" s="1277" t="s">
        <v>500</v>
      </c>
      <c r="B117" s="1277"/>
      <c r="C117" s="1277"/>
      <c r="D117" s="1277"/>
      <c r="E117" s="1277"/>
      <c r="F117" s="1277"/>
      <c r="G117" s="1277"/>
      <c r="H117" s="1277"/>
      <c r="I117" s="1277"/>
      <c r="J117" s="1277"/>
      <c r="K117" s="1277"/>
      <c r="L117" s="1277"/>
      <c r="M117" s="1277"/>
      <c r="N117" s="720"/>
    </row>
    <row r="118" spans="1:14" ht="13.5" thickBot="1" x14ac:dyDescent="0.25">
      <c r="A118" s="721">
        <f>SUM(B118:M118)</f>
        <v>100</v>
      </c>
      <c r="B118" s="722">
        <f>'X22.55 DOF'!B84</f>
        <v>11.212544738372825</v>
      </c>
      <c r="C118" s="722">
        <f>'X22.55 DOF'!C84</f>
        <v>9.8313859325839577</v>
      </c>
      <c r="D118" s="722">
        <f>'X22.55 DOF'!D84</f>
        <v>8.9962220666253323</v>
      </c>
      <c r="E118" s="722">
        <f>'X22.55 DOF'!E84</f>
        <v>8.1855820893234768</v>
      </c>
      <c r="F118" s="722">
        <f>'X22.55 DOF'!F84</f>
        <v>7.5750714788299529</v>
      </c>
      <c r="G118" s="722">
        <f>'X22.55 DOF'!G84</f>
        <v>5.9686837981562855</v>
      </c>
      <c r="H118" s="722">
        <f>'X22.55 DOF'!H84</f>
        <v>7.5083924191824138</v>
      </c>
      <c r="I118" s="722">
        <f>'X22.55 DOF'!I84</f>
        <v>8.0247846653340513</v>
      </c>
      <c r="J118" s="722">
        <f>'X22.55 DOF'!J84</f>
        <v>8.6804216395405351</v>
      </c>
      <c r="K118" s="722">
        <f>'X22.55 DOF'!K84</f>
        <v>6.0843873359959462</v>
      </c>
      <c r="L118" s="722">
        <f>'X22.55 DOF'!L84</f>
        <v>9.8149200097690077</v>
      </c>
      <c r="M118" s="722">
        <f>'X22.55 DOF'!M84</f>
        <v>8.1176038262862136</v>
      </c>
      <c r="N118" s="720"/>
    </row>
    <row r="119" spans="1:14" ht="13.5" thickBot="1" x14ac:dyDescent="0.25">
      <c r="A119" s="690" t="s">
        <v>386</v>
      </c>
      <c r="B119" s="691" t="s">
        <v>1</v>
      </c>
      <c r="C119" s="691" t="s">
        <v>2</v>
      </c>
      <c r="D119" s="691" t="s">
        <v>3</v>
      </c>
      <c r="E119" s="691" t="s">
        <v>4</v>
      </c>
      <c r="F119" s="691" t="s">
        <v>5</v>
      </c>
      <c r="G119" s="691" t="s">
        <v>6</v>
      </c>
      <c r="H119" s="691" t="s">
        <v>7</v>
      </c>
      <c r="I119" s="691" t="s">
        <v>8</v>
      </c>
      <c r="J119" s="691" t="s">
        <v>9</v>
      </c>
      <c r="K119" s="691" t="s">
        <v>10</v>
      </c>
      <c r="L119" s="691" t="s">
        <v>11</v>
      </c>
      <c r="M119" s="691" t="s">
        <v>12</v>
      </c>
      <c r="N119" s="720"/>
    </row>
    <row r="120" spans="1:14" ht="13.5" thickBot="1" x14ac:dyDescent="0.25">
      <c r="A120" s="692">
        <v>882589157</v>
      </c>
      <c r="B120" s="718">
        <f>$A$120*B118/100</f>
        <v>98960704.084652573</v>
      </c>
      <c r="C120" s="718">
        <f t="shared" ref="C120:M120" si="39">$A$120*C118/100</f>
        <v>86770746.223809332</v>
      </c>
      <c r="D120" s="718">
        <f t="shared" si="39"/>
        <v>79399680.499676496</v>
      </c>
      <c r="E120" s="718">
        <f t="shared" si="39"/>
        <v>72245059.957703054</v>
      </c>
      <c r="F120" s="718">
        <f t="shared" si="39"/>
        <v>66856759.507152721</v>
      </c>
      <c r="G120" s="718">
        <f t="shared" si="39"/>
        <v>52678956.01814314</v>
      </c>
      <c r="H120" s="718">
        <f t="shared" si="39"/>
        <v>66268257.356713973</v>
      </c>
      <c r="I120" s="718">
        <f t="shared" si="39"/>
        <v>70825879.328837067</v>
      </c>
      <c r="J120" s="718">
        <f t="shared" si="39"/>
        <v>76612460.172466397</v>
      </c>
      <c r="K120" s="718">
        <f t="shared" si="39"/>
        <v>53700142.89738138</v>
      </c>
      <c r="L120" s="718">
        <f t="shared" si="39"/>
        <v>86625419.774444595</v>
      </c>
      <c r="M120" s="718">
        <f t="shared" si="39"/>
        <v>71645091.179019243</v>
      </c>
      <c r="N120" s="694">
        <f>SUM(B120)</f>
        <v>98960704.084652573</v>
      </c>
    </row>
    <row r="121" spans="1:14" ht="13.5" thickBot="1" x14ac:dyDescent="0.25">
      <c r="A121" s="698">
        <v>0.22800000000000001</v>
      </c>
      <c r="B121" s="698">
        <v>0.22800000000000001</v>
      </c>
      <c r="C121" s="698">
        <v>0.22800000000000001</v>
      </c>
      <c r="D121" s="698">
        <v>0.22800000000000001</v>
      </c>
      <c r="E121" s="698">
        <v>0.22800000000000001</v>
      </c>
      <c r="F121" s="698">
        <v>0.22800000000000001</v>
      </c>
      <c r="G121" s="698">
        <v>0.22800000000000001</v>
      </c>
      <c r="H121" s="698">
        <v>0.22800000000000001</v>
      </c>
      <c r="I121" s="698">
        <v>0.22800000000000001</v>
      </c>
      <c r="J121" s="698">
        <v>0.22800000000000001</v>
      </c>
      <c r="K121" s="698">
        <v>0.22800000000000001</v>
      </c>
      <c r="L121" s="698">
        <v>0.22800000000000001</v>
      </c>
      <c r="M121" s="698">
        <v>0.22800000000000001</v>
      </c>
      <c r="N121" s="694"/>
    </row>
    <row r="122" spans="1:14" ht="13.5" thickBot="1" x14ac:dyDescent="0.25">
      <c r="A122" s="692">
        <f t="shared" ref="A122:M122" si="40">A120*A121</f>
        <v>201230327.796</v>
      </c>
      <c r="B122" s="701">
        <f t="shared" si="40"/>
        <v>22563040.531300787</v>
      </c>
      <c r="C122" s="701">
        <f t="shared" si="40"/>
        <v>19783730.139028527</v>
      </c>
      <c r="D122" s="701">
        <f t="shared" si="40"/>
        <v>18103127.153926242</v>
      </c>
      <c r="E122" s="701">
        <f t="shared" si="40"/>
        <v>16471873.670356296</v>
      </c>
      <c r="F122" s="701">
        <f t="shared" si="40"/>
        <v>15243341.167630821</v>
      </c>
      <c r="G122" s="701">
        <f t="shared" si="40"/>
        <v>12010801.972136637</v>
      </c>
      <c r="H122" s="701">
        <f t="shared" si="40"/>
        <v>15109162.677330786</v>
      </c>
      <c r="I122" s="701">
        <f t="shared" si="40"/>
        <v>16148300.486974852</v>
      </c>
      <c r="J122" s="701">
        <f t="shared" si="40"/>
        <v>17467640.919322338</v>
      </c>
      <c r="K122" s="701">
        <f t="shared" si="40"/>
        <v>12243632.580602955</v>
      </c>
      <c r="L122" s="701">
        <f t="shared" si="40"/>
        <v>19750595.708573367</v>
      </c>
      <c r="M122" s="701">
        <f t="shared" si="40"/>
        <v>16335080.788816389</v>
      </c>
      <c r="N122" s="694">
        <f>SUM(B122)</f>
        <v>22563040.531300787</v>
      </c>
    </row>
    <row r="123" spans="1:14" ht="13.5" thickBot="1" x14ac:dyDescent="0.25">
      <c r="A123" s="704" t="s">
        <v>514</v>
      </c>
    </row>
    <row r="124" spans="1:14" x14ac:dyDescent="0.2">
      <c r="A124" s="715"/>
    </row>
    <row r="127" spans="1:14" x14ac:dyDescent="0.2">
      <c r="A127" s="1272" t="s">
        <v>385</v>
      </c>
      <c r="B127" s="1272"/>
      <c r="C127" s="1272"/>
      <c r="D127" s="1272"/>
      <c r="E127" s="1272"/>
      <c r="F127" s="1272"/>
      <c r="G127" s="1272"/>
      <c r="H127" s="1272"/>
      <c r="I127" s="1272"/>
      <c r="J127" s="1272"/>
      <c r="K127" s="1272"/>
      <c r="L127" s="1272"/>
      <c r="M127" s="1272"/>
    </row>
    <row r="128" spans="1:14" x14ac:dyDescent="0.2">
      <c r="A128" s="1277" t="s">
        <v>501</v>
      </c>
      <c r="B128" s="1277"/>
      <c r="C128" s="1277"/>
      <c r="D128" s="1277"/>
      <c r="E128" s="1277"/>
      <c r="F128" s="1277"/>
      <c r="G128" s="1277"/>
      <c r="H128" s="1277"/>
      <c r="I128" s="1277"/>
      <c r="J128" s="1277"/>
      <c r="K128" s="1277"/>
      <c r="L128" s="1277"/>
      <c r="M128" s="1277"/>
    </row>
    <row r="129" spans="1:18" ht="13.5" thickBot="1" x14ac:dyDescent="0.25">
      <c r="A129" s="721">
        <f>SUM(B129:M129)</f>
        <v>100</v>
      </c>
      <c r="B129" s="722">
        <f>'X22.55 DOF'!B94</f>
        <v>10.867403619831554</v>
      </c>
      <c r="C129" s="722">
        <f>'X22.55 DOF'!C94</f>
        <v>8.839916472175597</v>
      </c>
      <c r="D129" s="722">
        <f>'X22.55 DOF'!D94</f>
        <v>10.200430293453485</v>
      </c>
      <c r="E129" s="722">
        <f>'X22.55 DOF'!E94</f>
        <v>5.175298283144361</v>
      </c>
      <c r="F129" s="722">
        <f>'X22.55 DOF'!F94</f>
        <v>8.8609185058744497</v>
      </c>
      <c r="G129" s="722">
        <f>'X22.55 DOF'!G94</f>
        <v>6.9016908542204849</v>
      </c>
      <c r="H129" s="722">
        <f>'X22.55 DOF'!H94</f>
        <v>10.841702395524985</v>
      </c>
      <c r="I129" s="722">
        <f>'X22.55 DOF'!I94</f>
        <v>5.8370182146170002</v>
      </c>
      <c r="J129" s="722">
        <f>'X22.55 DOF'!J94</f>
        <v>10.363678096899388</v>
      </c>
      <c r="K129" s="722">
        <f>'X22.55 DOF'!K94</f>
        <v>5.7160862184862697</v>
      </c>
      <c r="L129" s="722">
        <f>'X22.55 DOF'!L94</f>
        <v>9.7141391140536282</v>
      </c>
      <c r="M129" s="722">
        <f>'X22.55 DOF'!M94</f>
        <v>6.6817179317187971</v>
      </c>
    </row>
    <row r="130" spans="1:18" ht="13.5" thickBot="1" x14ac:dyDescent="0.25">
      <c r="A130" s="690" t="s">
        <v>386</v>
      </c>
      <c r="B130" s="691" t="s">
        <v>1</v>
      </c>
      <c r="C130" s="691" t="s">
        <v>2</v>
      </c>
      <c r="D130" s="691" t="s">
        <v>3</v>
      </c>
      <c r="E130" s="691" t="s">
        <v>4</v>
      </c>
      <c r="F130" s="691" t="s">
        <v>5</v>
      </c>
      <c r="G130" s="691" t="s">
        <v>6</v>
      </c>
      <c r="H130" s="691" t="s">
        <v>7</v>
      </c>
      <c r="I130" s="691" t="s">
        <v>8</v>
      </c>
      <c r="J130" s="691" t="s">
        <v>9</v>
      </c>
      <c r="K130" s="691" t="s">
        <v>10</v>
      </c>
      <c r="L130" s="691" t="s">
        <v>11</v>
      </c>
      <c r="M130" s="691" t="s">
        <v>12</v>
      </c>
    </row>
    <row r="131" spans="1:18" ht="13.5" thickBot="1" x14ac:dyDescent="0.25">
      <c r="A131" s="692">
        <v>8661066</v>
      </c>
      <c r="B131" s="718">
        <f>$A$131*B129/100</f>
        <v>941233</v>
      </c>
      <c r="C131" s="718">
        <f t="shared" ref="C131:M131" si="41">$A$131*C129/100</f>
        <v>765631.00000000012</v>
      </c>
      <c r="D131" s="718">
        <f t="shared" si="41"/>
        <v>883466</v>
      </c>
      <c r="E131" s="718">
        <f t="shared" si="41"/>
        <v>448236</v>
      </c>
      <c r="F131" s="718">
        <f t="shared" si="41"/>
        <v>767450</v>
      </c>
      <c r="G131" s="718">
        <f t="shared" si="41"/>
        <v>597760</v>
      </c>
      <c r="H131" s="718">
        <f t="shared" si="41"/>
        <v>939007</v>
      </c>
      <c r="I131" s="718">
        <f t="shared" si="41"/>
        <v>505548</v>
      </c>
      <c r="J131" s="718">
        <f t="shared" si="41"/>
        <v>897605</v>
      </c>
      <c r="K131" s="718">
        <f t="shared" si="41"/>
        <v>495074</v>
      </c>
      <c r="L131" s="718">
        <f t="shared" si="41"/>
        <v>841348</v>
      </c>
      <c r="M131" s="718">
        <f t="shared" si="41"/>
        <v>578707.99999999988</v>
      </c>
      <c r="N131" s="694">
        <f>SUM(B131)</f>
        <v>941233</v>
      </c>
    </row>
    <row r="132" spans="1:18" ht="13.5" thickBot="1" x14ac:dyDescent="0.25">
      <c r="A132" s="698">
        <v>0.22500000000000001</v>
      </c>
      <c r="B132" s="713">
        <v>0.22500000000000001</v>
      </c>
      <c r="C132" s="713">
        <v>0.22500000000000001</v>
      </c>
      <c r="D132" s="713">
        <v>0.22500000000000001</v>
      </c>
      <c r="E132" s="713">
        <v>0.22500000000000001</v>
      </c>
      <c r="F132" s="713">
        <v>0.22500000000000001</v>
      </c>
      <c r="G132" s="713">
        <v>0.22500000000000001</v>
      </c>
      <c r="H132" s="713">
        <v>0.22500000000000001</v>
      </c>
      <c r="I132" s="713">
        <v>0.22500000000000001</v>
      </c>
      <c r="J132" s="713">
        <v>0.22500000000000001</v>
      </c>
      <c r="K132" s="713">
        <v>0.22500000000000001</v>
      </c>
      <c r="L132" s="713">
        <v>0.22500000000000001</v>
      </c>
      <c r="M132" s="713">
        <v>0.22500000000000001</v>
      </c>
      <c r="N132" s="694"/>
    </row>
    <row r="133" spans="1:18" ht="13.5" thickBot="1" x14ac:dyDescent="0.25">
      <c r="A133" s="692">
        <f t="shared" ref="A133:M133" si="42">A131*A132</f>
        <v>1948739.85</v>
      </c>
      <c r="B133" s="701">
        <f t="shared" si="42"/>
        <v>211777.42500000002</v>
      </c>
      <c r="C133" s="701">
        <f t="shared" si="42"/>
        <v>172266.97500000003</v>
      </c>
      <c r="D133" s="701">
        <f t="shared" si="42"/>
        <v>198779.85</v>
      </c>
      <c r="E133" s="701">
        <f t="shared" si="42"/>
        <v>100853.1</v>
      </c>
      <c r="F133" s="701">
        <f t="shared" si="42"/>
        <v>172676.25</v>
      </c>
      <c r="G133" s="701">
        <f t="shared" si="42"/>
        <v>134496</v>
      </c>
      <c r="H133" s="701">
        <f t="shared" si="42"/>
        <v>211276.57500000001</v>
      </c>
      <c r="I133" s="701">
        <f t="shared" si="42"/>
        <v>113748.3</v>
      </c>
      <c r="J133" s="701">
        <f t="shared" si="42"/>
        <v>201961.125</v>
      </c>
      <c r="K133" s="701">
        <f t="shared" si="42"/>
        <v>111391.65000000001</v>
      </c>
      <c r="L133" s="701">
        <f t="shared" si="42"/>
        <v>189303.30000000002</v>
      </c>
      <c r="M133" s="701">
        <f t="shared" si="42"/>
        <v>130209.29999999997</v>
      </c>
      <c r="N133" s="694">
        <f>SUM(B133)</f>
        <v>211777.42500000002</v>
      </c>
    </row>
    <row r="134" spans="1:18" ht="13.5" thickBot="1" x14ac:dyDescent="0.25">
      <c r="A134" s="704" t="s">
        <v>514</v>
      </c>
    </row>
    <row r="137" spans="1:18" x14ac:dyDescent="0.2">
      <c r="A137" s="1272" t="s">
        <v>385</v>
      </c>
      <c r="B137" s="1272"/>
      <c r="C137" s="1272"/>
      <c r="D137" s="1272"/>
      <c r="E137" s="1272"/>
      <c r="F137" s="1272"/>
      <c r="G137" s="1272"/>
      <c r="H137" s="1272"/>
      <c r="I137" s="1272"/>
      <c r="J137" s="1272"/>
      <c r="K137" s="1272"/>
      <c r="L137" s="1272"/>
      <c r="M137" s="1272"/>
    </row>
    <row r="138" spans="1:18" x14ac:dyDescent="0.2">
      <c r="A138" s="1277" t="s">
        <v>503</v>
      </c>
      <c r="B138" s="1277"/>
      <c r="C138" s="1277"/>
      <c r="D138" s="1277"/>
      <c r="E138" s="1277"/>
      <c r="F138" s="1277"/>
      <c r="G138" s="1277"/>
      <c r="H138" s="1277"/>
      <c r="I138" s="1277"/>
      <c r="J138" s="1277"/>
      <c r="K138" s="1277"/>
      <c r="L138" s="1277"/>
      <c r="M138" s="1277"/>
    </row>
    <row r="139" spans="1:18" ht="13.5" thickBot="1" x14ac:dyDescent="0.25">
      <c r="A139" s="721">
        <f>SUM(B139:M139)</f>
        <v>100</v>
      </c>
      <c r="B139" s="722">
        <f>'X22.55 DOF'!B104</f>
        <v>5.4223776737391498</v>
      </c>
      <c r="C139" s="722">
        <f>'X22.55 DOF'!C104</f>
        <v>8.1275192990173757</v>
      </c>
      <c r="D139" s="722">
        <f>'X22.55 DOF'!D104</f>
        <v>7.0882321832866957</v>
      </c>
      <c r="E139" s="722">
        <f>'X22.55 DOF'!E104</f>
        <v>8.9723144156649344</v>
      </c>
      <c r="F139" s="722">
        <f>'X22.55 DOF'!F104</f>
        <v>9.6848612215129961</v>
      </c>
      <c r="G139" s="722">
        <f>'X22.55 DOF'!G104</f>
        <v>10.813661017232098</v>
      </c>
      <c r="H139" s="722">
        <f>'X22.55 DOF'!H104</f>
        <v>9.1838914353038472</v>
      </c>
      <c r="I139" s="722">
        <f>'X22.55 DOF'!I104</f>
        <v>7.8143710551334875</v>
      </c>
      <c r="J139" s="722">
        <f>'X22.55 DOF'!J104</f>
        <v>6.7890362056319864</v>
      </c>
      <c r="K139" s="722">
        <f>'X22.55 DOF'!K104</f>
        <v>10.198714364146023</v>
      </c>
      <c r="L139" s="722">
        <f>'X22.55 DOF'!L104</f>
        <v>7.3586655577605935</v>
      </c>
      <c r="M139" s="722">
        <f>'X22.55 DOF'!M104</f>
        <v>8.5463555715708157</v>
      </c>
    </row>
    <row r="140" spans="1:18" ht="13.5" thickBot="1" x14ac:dyDescent="0.25">
      <c r="A140" s="690" t="s">
        <v>386</v>
      </c>
      <c r="B140" s="691" t="s">
        <v>1</v>
      </c>
      <c r="C140" s="691" t="s">
        <v>2</v>
      </c>
      <c r="D140" s="691" t="s">
        <v>3</v>
      </c>
      <c r="E140" s="691" t="s">
        <v>4</v>
      </c>
      <c r="F140" s="691" t="s">
        <v>5</v>
      </c>
      <c r="G140" s="691" t="s">
        <v>6</v>
      </c>
      <c r="H140" s="691" t="s">
        <v>7</v>
      </c>
      <c r="I140" s="691" t="s">
        <v>8</v>
      </c>
      <c r="J140" s="691" t="s">
        <v>9</v>
      </c>
      <c r="K140" s="691" t="s">
        <v>10</v>
      </c>
      <c r="L140" s="691" t="s">
        <v>11</v>
      </c>
      <c r="M140" s="691" t="s">
        <v>12</v>
      </c>
    </row>
    <row r="141" spans="1:18" ht="13.5" thickBot="1" x14ac:dyDescent="0.25">
      <c r="A141" s="692">
        <v>496112954</v>
      </c>
      <c r="B141" s="718">
        <f>$A$141*B139/100</f>
        <v>26901118.05422378</v>
      </c>
      <c r="C141" s="718">
        <f t="shared" ref="C141:M141" si="43">$A$141*C139/100</f>
        <v>40321676.081275195</v>
      </c>
      <c r="D141" s="718">
        <f t="shared" si="43"/>
        <v>35165638.07088232</v>
      </c>
      <c r="E141" s="718">
        <f t="shared" si="43"/>
        <v>44512814.089723147</v>
      </c>
      <c r="F141" s="718">
        <f t="shared" si="43"/>
        <v>48047851.096848615</v>
      </c>
      <c r="G141" s="718">
        <f t="shared" si="43"/>
        <v>53647973.108136617</v>
      </c>
      <c r="H141" s="718">
        <f t="shared" si="43"/>
        <v>45562475.091838911</v>
      </c>
      <c r="I141" s="718">
        <f t="shared" si="43"/>
        <v>38768107.078143716</v>
      </c>
      <c r="J141" s="718">
        <f t="shared" si="43"/>
        <v>33681288.067890361</v>
      </c>
      <c r="K141" s="718">
        <f t="shared" si="43"/>
        <v>50597143.101987153</v>
      </c>
      <c r="L141" s="718">
        <f t="shared" si="43"/>
        <v>36507293.073586658</v>
      </c>
      <c r="M141" s="718">
        <f t="shared" si="43"/>
        <v>42399577.085463554</v>
      </c>
      <c r="N141" s="694">
        <f>SUM(B141)</f>
        <v>26901118.05422378</v>
      </c>
      <c r="P141" s="730"/>
    </row>
    <row r="142" spans="1:18" ht="13.5" thickBot="1" x14ac:dyDescent="0.25">
      <c r="A142" s="698">
        <v>0.22500000000000001</v>
      </c>
      <c r="B142" s="713">
        <v>0.22500000000000001</v>
      </c>
      <c r="C142" s="713">
        <v>0.22500000000000001</v>
      </c>
      <c r="D142" s="713">
        <v>0.22500000000000001</v>
      </c>
      <c r="E142" s="713">
        <v>0.22500000000000001</v>
      </c>
      <c r="F142" s="713">
        <v>0.22500000000000001</v>
      </c>
      <c r="G142" s="713">
        <v>0.22500000000000001</v>
      </c>
      <c r="H142" s="713">
        <v>0.22500000000000001</v>
      </c>
      <c r="I142" s="713">
        <v>0.22500000000000001</v>
      </c>
      <c r="J142" s="713">
        <v>0.22500000000000001</v>
      </c>
      <c r="K142" s="713">
        <v>0.22500000000000001</v>
      </c>
      <c r="L142" s="713">
        <v>0.22500000000000001</v>
      </c>
      <c r="M142" s="713">
        <v>0.22500000000000001</v>
      </c>
      <c r="N142" s="694"/>
    </row>
    <row r="143" spans="1:18" ht="13.5" thickBot="1" x14ac:dyDescent="0.25">
      <c r="A143" s="692">
        <f t="shared" ref="A143:M143" si="44">A141*A142</f>
        <v>111625414.65000001</v>
      </c>
      <c r="B143" s="701">
        <f t="shared" si="44"/>
        <v>6052751.5622003507</v>
      </c>
      <c r="C143" s="701">
        <f t="shared" si="44"/>
        <v>9072377.1182869188</v>
      </c>
      <c r="D143" s="701">
        <f t="shared" si="44"/>
        <v>7912268.5659485226</v>
      </c>
      <c r="E143" s="701">
        <f t="shared" si="44"/>
        <v>10015383.170187708</v>
      </c>
      <c r="F143" s="701">
        <f t="shared" si="44"/>
        <v>10810766.496790938</v>
      </c>
      <c r="G143" s="701">
        <f t="shared" si="44"/>
        <v>12070793.94933074</v>
      </c>
      <c r="H143" s="701">
        <f t="shared" si="44"/>
        <v>10251556.895663755</v>
      </c>
      <c r="I143" s="701">
        <f t="shared" si="44"/>
        <v>8722824.0925823357</v>
      </c>
      <c r="J143" s="701">
        <f t="shared" si="44"/>
        <v>7578289.815275331</v>
      </c>
      <c r="K143" s="701">
        <f t="shared" si="44"/>
        <v>11384357.197947109</v>
      </c>
      <c r="L143" s="701">
        <f t="shared" si="44"/>
        <v>8214140.9415569985</v>
      </c>
      <c r="M143" s="701">
        <f t="shared" si="44"/>
        <v>9539904.8442292996</v>
      </c>
      <c r="N143" s="694">
        <f>SUM(B143)</f>
        <v>6052751.5622003507</v>
      </c>
      <c r="P143" s="606"/>
      <c r="Q143" s="723"/>
      <c r="R143" s="606"/>
    </row>
    <row r="144" spans="1:18" ht="13.5" thickBot="1" x14ac:dyDescent="0.25">
      <c r="A144" s="704" t="s">
        <v>514</v>
      </c>
      <c r="P144" s="606"/>
    </row>
    <row r="145" spans="1:16" x14ac:dyDescent="0.2">
      <c r="P145" s="606"/>
    </row>
    <row r="147" spans="1:16" x14ac:dyDescent="0.2">
      <c r="A147" s="1280" t="s">
        <v>502</v>
      </c>
      <c r="B147" s="1280"/>
      <c r="C147" s="1280"/>
      <c r="D147" s="1280"/>
      <c r="E147" s="1280"/>
      <c r="F147" s="1280"/>
      <c r="G147" s="1280"/>
      <c r="H147" s="1280"/>
      <c r="I147" s="1280"/>
      <c r="J147" s="1280"/>
      <c r="K147" s="1280"/>
      <c r="L147" s="1280"/>
      <c r="M147" s="1280"/>
    </row>
    <row r="148" spans="1:16" ht="13.5" thickBot="1" x14ac:dyDescent="0.25">
      <c r="P148" s="630"/>
    </row>
    <row r="149" spans="1:16" ht="13.5" thickBot="1" x14ac:dyDescent="0.25">
      <c r="A149" s="690" t="s">
        <v>386</v>
      </c>
      <c r="B149" s="691" t="s">
        <v>1</v>
      </c>
      <c r="C149" s="691" t="s">
        <v>2</v>
      </c>
      <c r="D149" s="691" t="s">
        <v>3</v>
      </c>
      <c r="E149" s="691" t="s">
        <v>4</v>
      </c>
      <c r="F149" s="691" t="s">
        <v>5</v>
      </c>
      <c r="G149" s="691" t="s">
        <v>6</v>
      </c>
      <c r="H149" s="691" t="s">
        <v>7</v>
      </c>
      <c r="I149" s="691" t="s">
        <v>8</v>
      </c>
      <c r="J149" s="691" t="s">
        <v>9</v>
      </c>
      <c r="K149" s="691" t="s">
        <v>10</v>
      </c>
      <c r="L149" s="691" t="s">
        <v>11</v>
      </c>
      <c r="M149" s="691" t="s">
        <v>12</v>
      </c>
      <c r="P149" s="630"/>
    </row>
    <row r="150" spans="1:16" ht="13.5" thickBot="1" x14ac:dyDescent="0.25">
      <c r="A150" s="701">
        <f>B150+C150+D150+E150+F150+G150+H150+I150+J150+K150+L150+M150</f>
        <v>0</v>
      </c>
      <c r="B150" s="701">
        <v>0</v>
      </c>
      <c r="C150" s="701">
        <v>0</v>
      </c>
      <c r="D150" s="701">
        <v>0</v>
      </c>
      <c r="E150" s="701">
        <v>0</v>
      </c>
      <c r="F150" s="701">
        <v>0</v>
      </c>
      <c r="G150" s="701">
        <v>0</v>
      </c>
      <c r="H150" s="701">
        <v>0</v>
      </c>
      <c r="I150" s="701">
        <v>0</v>
      </c>
      <c r="J150" s="701">
        <v>0</v>
      </c>
      <c r="K150" s="701">
        <v>0</v>
      </c>
      <c r="L150" s="701">
        <v>0</v>
      </c>
      <c r="M150" s="724">
        <v>0</v>
      </c>
      <c r="N150" s="725">
        <v>0</v>
      </c>
      <c r="P150" s="702"/>
    </row>
    <row r="151" spans="1:16" ht="13.5" thickBot="1" x14ac:dyDescent="0.25">
      <c r="A151" s="698">
        <v>0.22500000000000001</v>
      </c>
      <c r="B151" s="713">
        <v>0.22500000000000001</v>
      </c>
      <c r="C151" s="713">
        <v>0.22500000000000001</v>
      </c>
      <c r="D151" s="713">
        <v>0.22500000000000001</v>
      </c>
      <c r="E151" s="713">
        <v>0.22500000000000001</v>
      </c>
      <c r="F151" s="713">
        <v>0.22500000000000001</v>
      </c>
      <c r="G151" s="713">
        <v>0.22500000000000001</v>
      </c>
      <c r="H151" s="713">
        <v>0.22500000000000001</v>
      </c>
      <c r="I151" s="713">
        <v>0.22500000000000001</v>
      </c>
      <c r="J151" s="713">
        <v>0.22500000000000001</v>
      </c>
      <c r="K151" s="713">
        <v>0.22500000000000001</v>
      </c>
      <c r="L151" s="713">
        <v>0.22500000000000001</v>
      </c>
      <c r="M151" s="713">
        <v>0.22500000000000001</v>
      </c>
      <c r="N151" s="725"/>
      <c r="P151" s="702"/>
    </row>
    <row r="152" spans="1:16" ht="13.5" thickBot="1" x14ac:dyDescent="0.25">
      <c r="A152" s="692">
        <f t="shared" ref="A152:M152" si="45">A150*A151</f>
        <v>0</v>
      </c>
      <c r="B152" s="701">
        <f t="shared" si="45"/>
        <v>0</v>
      </c>
      <c r="C152" s="701">
        <f t="shared" si="45"/>
        <v>0</v>
      </c>
      <c r="D152" s="701">
        <f t="shared" si="45"/>
        <v>0</v>
      </c>
      <c r="E152" s="701">
        <f t="shared" si="45"/>
        <v>0</v>
      </c>
      <c r="F152" s="701">
        <f t="shared" si="45"/>
        <v>0</v>
      </c>
      <c r="G152" s="701">
        <f t="shared" si="45"/>
        <v>0</v>
      </c>
      <c r="H152" s="701">
        <f t="shared" si="45"/>
        <v>0</v>
      </c>
      <c r="I152" s="701">
        <f t="shared" si="45"/>
        <v>0</v>
      </c>
      <c r="J152" s="701">
        <f t="shared" si="45"/>
        <v>0</v>
      </c>
      <c r="K152" s="701">
        <f t="shared" si="45"/>
        <v>0</v>
      </c>
      <c r="L152" s="701">
        <f t="shared" si="45"/>
        <v>0</v>
      </c>
      <c r="M152" s="724">
        <f t="shared" si="45"/>
        <v>0</v>
      </c>
      <c r="N152" s="725">
        <f>SUM(B152)</f>
        <v>0</v>
      </c>
      <c r="P152" s="702"/>
    </row>
    <row r="153" spans="1:16" x14ac:dyDescent="0.2">
      <c r="C153" s="705"/>
      <c r="D153" s="705"/>
      <c r="E153" s="705"/>
      <c r="F153" s="705"/>
      <c r="G153" s="705"/>
      <c r="P153" s="702"/>
    </row>
    <row r="154" spans="1:16" x14ac:dyDescent="0.2">
      <c r="D154" s="705"/>
      <c r="P154" s="702"/>
    </row>
    <row r="155" spans="1:16" x14ac:dyDescent="0.2">
      <c r="P155" s="702"/>
    </row>
    <row r="156" spans="1:16" x14ac:dyDescent="0.2">
      <c r="A156" s="1280" t="s">
        <v>504</v>
      </c>
      <c r="B156" s="1280"/>
      <c r="C156" s="1280"/>
      <c r="D156" s="1280"/>
      <c r="E156" s="1280"/>
      <c r="F156" s="1280"/>
      <c r="G156" s="1280"/>
      <c r="H156" s="1280"/>
      <c r="I156" s="1280"/>
      <c r="J156" s="1280"/>
      <c r="K156" s="1280"/>
      <c r="L156" s="1280"/>
      <c r="M156" s="1280"/>
      <c r="P156" s="702"/>
    </row>
    <row r="157" spans="1:16" ht="13.5" thickBot="1" x14ac:dyDescent="0.25">
      <c r="A157" s="1281" t="s">
        <v>389</v>
      </c>
      <c r="B157" s="1276"/>
      <c r="C157" s="1276"/>
      <c r="D157" s="1276"/>
      <c r="E157" s="1276"/>
      <c r="F157" s="1276"/>
      <c r="G157" s="1276"/>
      <c r="H157" s="1276"/>
      <c r="I157" s="1276"/>
      <c r="J157" s="1276"/>
      <c r="K157" s="1276"/>
      <c r="L157" s="1276"/>
      <c r="M157" s="1276"/>
      <c r="P157" s="702"/>
    </row>
    <row r="158" spans="1:16" ht="13.5" thickBot="1" x14ac:dyDescent="0.25">
      <c r="A158" s="690" t="s">
        <v>386</v>
      </c>
      <c r="B158" s="691" t="s">
        <v>1</v>
      </c>
      <c r="C158" s="691" t="s">
        <v>2</v>
      </c>
      <c r="D158" s="691" t="s">
        <v>3</v>
      </c>
      <c r="E158" s="691" t="s">
        <v>4</v>
      </c>
      <c r="F158" s="691" t="s">
        <v>5</v>
      </c>
      <c r="G158" s="691" t="s">
        <v>6</v>
      </c>
      <c r="H158" s="691" t="s">
        <v>7</v>
      </c>
      <c r="I158" s="691" t="s">
        <v>8</v>
      </c>
      <c r="J158" s="691" t="s">
        <v>9</v>
      </c>
      <c r="K158" s="691" t="s">
        <v>10</v>
      </c>
      <c r="L158" s="691" t="s">
        <v>11</v>
      </c>
      <c r="M158" s="691" t="s">
        <v>12</v>
      </c>
      <c r="P158" s="702"/>
    </row>
    <row r="159" spans="1:16" ht="13.5" thickBot="1" x14ac:dyDescent="0.25">
      <c r="A159" s="726">
        <f>SUM(B159:M159)</f>
        <v>6860914</v>
      </c>
      <c r="B159" s="701">
        <v>776497.54</v>
      </c>
      <c r="C159" s="701">
        <v>1125902.22</v>
      </c>
      <c r="D159" s="701">
        <v>1185966.1599999999</v>
      </c>
      <c r="E159" s="701">
        <v>781014.11</v>
      </c>
      <c r="F159" s="701">
        <v>452515.78</v>
      </c>
      <c r="G159" s="701">
        <v>557634.39</v>
      </c>
      <c r="H159" s="701">
        <v>500828.95</v>
      </c>
      <c r="I159" s="701">
        <v>233836.09</v>
      </c>
      <c r="J159" s="701">
        <v>323389.44</v>
      </c>
      <c r="K159" s="701">
        <v>277332.44</v>
      </c>
      <c r="L159" s="701">
        <v>385421.61</v>
      </c>
      <c r="M159" s="701">
        <v>260575.27</v>
      </c>
      <c r="N159" s="606"/>
      <c r="O159" s="606"/>
      <c r="P159" s="702"/>
    </row>
    <row r="160" spans="1:16" ht="13.5" thickBot="1" x14ac:dyDescent="0.25">
      <c r="A160" s="727">
        <f>SUM(B160:M160)</f>
        <v>125995.99999999999</v>
      </c>
      <c r="B160" s="701">
        <v>12001.76</v>
      </c>
      <c r="C160" s="701">
        <v>16714.759999999998</v>
      </c>
      <c r="D160" s="701">
        <v>14332.8</v>
      </c>
      <c r="E160" s="701">
        <v>21328.35</v>
      </c>
      <c r="F160" s="701">
        <v>10788.35</v>
      </c>
      <c r="G160" s="701">
        <v>13202.27</v>
      </c>
      <c r="H160" s="701">
        <v>7613.07</v>
      </c>
      <c r="I160" s="701">
        <v>7401.78</v>
      </c>
      <c r="J160" s="701">
        <v>4429.87</v>
      </c>
      <c r="K160" s="701">
        <v>12742.69</v>
      </c>
      <c r="L160" s="701">
        <v>4140.17</v>
      </c>
      <c r="M160" s="701">
        <v>1300.1299999999999</v>
      </c>
      <c r="N160" s="606"/>
      <c r="O160" s="606"/>
      <c r="P160" s="606"/>
    </row>
    <row r="161" spans="1:18" ht="13.5" thickBot="1" x14ac:dyDescent="0.25">
      <c r="A161" s="727">
        <f>SUM(B161:M161)</f>
        <v>5936379</v>
      </c>
      <c r="B161" s="701">
        <v>684713.4</v>
      </c>
      <c r="C161" s="701">
        <v>490806.72</v>
      </c>
      <c r="D161" s="701">
        <v>425278.57</v>
      </c>
      <c r="E161" s="701">
        <v>542112.72</v>
      </c>
      <c r="F161" s="701">
        <v>458508.02</v>
      </c>
      <c r="G161" s="701">
        <v>369137.58</v>
      </c>
      <c r="H161" s="701">
        <v>283887.59999999998</v>
      </c>
      <c r="I161" s="701">
        <v>468118.54</v>
      </c>
      <c r="J161" s="701">
        <v>366093.74</v>
      </c>
      <c r="K161" s="701">
        <v>840041.68</v>
      </c>
      <c r="L161" s="701">
        <v>434978.13</v>
      </c>
      <c r="M161" s="701">
        <v>572702.30000000005</v>
      </c>
      <c r="N161" s="606"/>
      <c r="O161" s="606"/>
    </row>
    <row r="162" spans="1:18" ht="13.5" thickBot="1" x14ac:dyDescent="0.25">
      <c r="A162" s="728" t="s">
        <v>390</v>
      </c>
      <c r="N162" s="606"/>
    </row>
    <row r="163" spans="1:18" ht="13.5" thickBot="1" x14ac:dyDescent="0.25">
      <c r="A163" s="729">
        <f>SUM(B163:M163)</f>
        <v>12923289.000000002</v>
      </c>
      <c r="B163" s="730">
        <f>SUM(B159:B161)</f>
        <v>1473212.7000000002</v>
      </c>
      <c r="C163" s="730">
        <f t="shared" ref="C163:M163" si="46">SUM(C159:C161)</f>
        <v>1633423.7</v>
      </c>
      <c r="D163" s="730">
        <f t="shared" si="46"/>
        <v>1625577.53</v>
      </c>
      <c r="E163" s="730">
        <f t="shared" si="46"/>
        <v>1344455.18</v>
      </c>
      <c r="F163" s="730">
        <f t="shared" si="46"/>
        <v>921812.15</v>
      </c>
      <c r="G163" s="730">
        <f t="shared" si="46"/>
        <v>939974.24</v>
      </c>
      <c r="H163" s="730">
        <f t="shared" si="46"/>
        <v>792329.62</v>
      </c>
      <c r="I163" s="730">
        <f t="shared" si="46"/>
        <v>709356.40999999992</v>
      </c>
      <c r="J163" s="730">
        <f t="shared" si="46"/>
        <v>693913.05</v>
      </c>
      <c r="K163" s="730">
        <f t="shared" si="46"/>
        <v>1130116.81</v>
      </c>
      <c r="L163" s="730">
        <f t="shared" si="46"/>
        <v>824539.90999999992</v>
      </c>
      <c r="M163" s="730">
        <f t="shared" si="46"/>
        <v>834577.70000000007</v>
      </c>
      <c r="N163" s="725">
        <f>SUM(B163)</f>
        <v>1473212.7000000002</v>
      </c>
    </row>
    <row r="164" spans="1:18" x14ac:dyDescent="0.2">
      <c r="N164" s="731"/>
    </row>
    <row r="165" spans="1:18" x14ac:dyDescent="0.2">
      <c r="A165" s="716"/>
      <c r="N165" s="703"/>
    </row>
    <row r="166" spans="1:18" x14ac:dyDescent="0.2">
      <c r="A166" s="1280" t="s">
        <v>505</v>
      </c>
      <c r="B166" s="1280"/>
      <c r="C166" s="1280"/>
      <c r="D166" s="1280"/>
      <c r="E166" s="1280"/>
      <c r="F166" s="1280"/>
      <c r="G166" s="1280"/>
      <c r="H166" s="1280"/>
      <c r="I166" s="1280"/>
      <c r="J166" s="1280"/>
      <c r="K166" s="1280"/>
      <c r="L166" s="1280"/>
      <c r="M166" s="1280"/>
      <c r="N166" s="703"/>
      <c r="O166" s="1282" t="s">
        <v>406</v>
      </c>
      <c r="P166" s="1282"/>
      <c r="Q166" s="1282"/>
      <c r="R166" s="1282"/>
    </row>
    <row r="167" spans="1:18" ht="13.5" thickBot="1" x14ac:dyDescent="0.25">
      <c r="N167" s="703"/>
      <c r="O167" s="1282"/>
      <c r="P167" s="1282"/>
      <c r="Q167" s="1282"/>
      <c r="R167" s="1282"/>
    </row>
    <row r="168" spans="1:18" ht="13.5" thickBot="1" x14ac:dyDescent="0.25">
      <c r="A168" s="690" t="s">
        <v>386</v>
      </c>
      <c r="B168" s="691" t="s">
        <v>1</v>
      </c>
      <c r="C168" s="691" t="s">
        <v>2</v>
      </c>
      <c r="D168" s="691" t="s">
        <v>3</v>
      </c>
      <c r="E168" s="691" t="s">
        <v>4</v>
      </c>
      <c r="F168" s="691" t="s">
        <v>5</v>
      </c>
      <c r="G168" s="691" t="s">
        <v>6</v>
      </c>
      <c r="H168" s="691" t="s">
        <v>7</v>
      </c>
      <c r="I168" s="691" t="s">
        <v>8</v>
      </c>
      <c r="J168" s="691" t="s">
        <v>9</v>
      </c>
      <c r="K168" s="691" t="s">
        <v>10</v>
      </c>
      <c r="L168" s="691" t="s">
        <v>11</v>
      </c>
      <c r="M168" s="691" t="s">
        <v>12</v>
      </c>
      <c r="N168" s="732"/>
      <c r="O168" s="1282"/>
      <c r="P168" s="1282"/>
      <c r="Q168" s="1282"/>
      <c r="R168" s="1282"/>
    </row>
    <row r="169" spans="1:18" ht="13.5" thickBot="1" x14ac:dyDescent="0.25">
      <c r="A169" s="701">
        <f>B169+C169+D169+E169+F169+G169+H169+I169+J169+K169+L169+M169</f>
        <v>1406966639</v>
      </c>
      <c r="B169" s="701">
        <v>140696664</v>
      </c>
      <c r="C169" s="701">
        <v>140696664</v>
      </c>
      <c r="D169" s="701">
        <v>140696664</v>
      </c>
      <c r="E169" s="701">
        <v>140696664</v>
      </c>
      <c r="F169" s="701">
        <v>140696664</v>
      </c>
      <c r="G169" s="701">
        <v>140696664</v>
      </c>
      <c r="H169" s="701">
        <v>140696664</v>
      </c>
      <c r="I169" s="701">
        <v>140696664</v>
      </c>
      <c r="J169" s="701">
        <v>140696664</v>
      </c>
      <c r="K169" s="701">
        <v>140696663</v>
      </c>
      <c r="L169" s="701">
        <v>0</v>
      </c>
      <c r="M169" s="701">
        <v>0</v>
      </c>
      <c r="N169" s="725">
        <f>SUM(B169)</f>
        <v>140696664</v>
      </c>
      <c r="O169" s="1282"/>
      <c r="P169" s="1282"/>
      <c r="Q169" s="1282"/>
      <c r="R169" s="1282"/>
    </row>
    <row r="170" spans="1:18" x14ac:dyDescent="0.2">
      <c r="N170" s="731"/>
      <c r="O170" s="1282"/>
      <c r="P170" s="1282"/>
      <c r="Q170" s="1282"/>
      <c r="R170" s="1282"/>
    </row>
    <row r="171" spans="1:18" x14ac:dyDescent="0.2">
      <c r="A171" s="716"/>
      <c r="N171" s="703"/>
      <c r="O171" s="1282"/>
      <c r="P171" s="1282"/>
      <c r="Q171" s="1282"/>
      <c r="R171" s="1282"/>
    </row>
    <row r="172" spans="1:18" x14ac:dyDescent="0.2">
      <c r="A172" s="1280" t="s">
        <v>506</v>
      </c>
      <c r="B172" s="1280"/>
      <c r="C172" s="1280"/>
      <c r="D172" s="1280"/>
      <c r="E172" s="1280"/>
      <c r="F172" s="1280"/>
      <c r="G172" s="1280"/>
      <c r="H172" s="1280"/>
      <c r="I172" s="1280"/>
      <c r="J172" s="1280"/>
      <c r="K172" s="1280"/>
      <c r="L172" s="1280"/>
      <c r="M172" s="1280"/>
      <c r="N172" s="703"/>
      <c r="O172" s="1282"/>
      <c r="P172" s="1282"/>
      <c r="Q172" s="1282"/>
      <c r="R172" s="1282"/>
    </row>
    <row r="173" spans="1:18" ht="13.5" thickBot="1" x14ac:dyDescent="0.25">
      <c r="N173" s="703"/>
      <c r="O173" s="1282"/>
      <c r="P173" s="1282"/>
      <c r="Q173" s="1282"/>
      <c r="R173" s="1282"/>
    </row>
    <row r="174" spans="1:18" ht="13.5" thickBot="1" x14ac:dyDescent="0.25">
      <c r="A174" s="690" t="s">
        <v>386</v>
      </c>
      <c r="B174" s="691" t="s">
        <v>1</v>
      </c>
      <c r="C174" s="691" t="s">
        <v>2</v>
      </c>
      <c r="D174" s="691" t="s">
        <v>3</v>
      </c>
      <c r="E174" s="691" t="s">
        <v>4</v>
      </c>
      <c r="F174" s="691" t="s">
        <v>5</v>
      </c>
      <c r="G174" s="691" t="s">
        <v>6</v>
      </c>
      <c r="H174" s="691" t="s">
        <v>7</v>
      </c>
      <c r="I174" s="691" t="s">
        <v>8</v>
      </c>
      <c r="J174" s="691" t="s">
        <v>9</v>
      </c>
      <c r="K174" s="691" t="s">
        <v>10</v>
      </c>
      <c r="L174" s="691" t="s">
        <v>11</v>
      </c>
      <c r="M174" s="691" t="s">
        <v>12</v>
      </c>
      <c r="N174" s="732"/>
      <c r="O174" s="1282"/>
      <c r="P174" s="1282"/>
      <c r="Q174" s="1282"/>
      <c r="R174" s="1282"/>
    </row>
    <row r="175" spans="1:18" ht="13.5" thickBot="1" x14ac:dyDescent="0.25">
      <c r="A175" s="701">
        <f>B175+C175+D175+E175+F175+G175+H175+I175+J175+K175+L175+M175</f>
        <v>1092434877</v>
      </c>
      <c r="B175" s="701">
        <v>91036240</v>
      </c>
      <c r="C175" s="701">
        <v>91036240</v>
      </c>
      <c r="D175" s="701">
        <v>91036240</v>
      </c>
      <c r="E175" s="701">
        <v>91036240</v>
      </c>
      <c r="F175" s="701">
        <v>91036240</v>
      </c>
      <c r="G175" s="701">
        <v>91036240</v>
      </c>
      <c r="H175" s="701">
        <v>91036240</v>
      </c>
      <c r="I175" s="701">
        <v>91036240</v>
      </c>
      <c r="J175" s="701">
        <v>91036240</v>
      </c>
      <c r="K175" s="701">
        <v>91036240</v>
      </c>
      <c r="L175" s="701">
        <v>91036240</v>
      </c>
      <c r="M175" s="701">
        <v>91036237</v>
      </c>
      <c r="N175" s="725">
        <f>SUM(B175)</f>
        <v>91036240</v>
      </c>
    </row>
    <row r="176" spans="1:18" ht="13.5" thickBot="1" x14ac:dyDescent="0.25"/>
    <row r="177" spans="1:14" ht="13.5" thickBot="1" x14ac:dyDescent="0.25">
      <c r="C177" s="733"/>
      <c r="L177" s="734" t="s">
        <v>391</v>
      </c>
      <c r="M177" s="735"/>
      <c r="N177" s="736">
        <f>N10+N22+N36+N47+N59+N71+N108+N120+N131+N141</f>
        <v>914172592.00649333</v>
      </c>
    </row>
    <row r="178" spans="1:14" ht="13.5" thickBot="1" x14ac:dyDescent="0.25">
      <c r="B178" s="705"/>
      <c r="C178" s="705"/>
      <c r="E178" s="705"/>
      <c r="L178" s="728"/>
      <c r="M178" s="728"/>
      <c r="N178" s="737"/>
    </row>
    <row r="179" spans="1:14" ht="13.5" thickBot="1" x14ac:dyDescent="0.25">
      <c r="C179" s="705"/>
      <c r="E179" s="705"/>
      <c r="L179" s="734" t="s">
        <v>392</v>
      </c>
      <c r="M179" s="735"/>
      <c r="N179" s="736">
        <f>N13+N22+N38+N61+N73+N49+N122+N85+N97+N163+N169+N175+N152</f>
        <v>471196090.22607589</v>
      </c>
    </row>
    <row r="181" spans="1:14" x14ac:dyDescent="0.2">
      <c r="A181" s="606">
        <f>SUM(B181:M181)</f>
        <v>10389199092</v>
      </c>
      <c r="B181" s="705">
        <f t="shared" ref="B181:M181" si="47">B10+B22+B36+B59+B47+B120+B83+B95+B131+B141</f>
        <v>886062472.64880586</v>
      </c>
      <c r="C181" s="705">
        <f t="shared" si="47"/>
        <v>1135831804.9629288</v>
      </c>
      <c r="D181" s="705">
        <f t="shared" si="47"/>
        <v>753987771.70020449</v>
      </c>
      <c r="E181" s="705">
        <f t="shared" si="47"/>
        <v>983672258.49412251</v>
      </c>
      <c r="F181" s="705">
        <f t="shared" si="47"/>
        <v>968342605.5348469</v>
      </c>
      <c r="G181" s="705">
        <f t="shared" si="47"/>
        <v>914726278.42536008</v>
      </c>
      <c r="H181" s="705">
        <f t="shared" si="47"/>
        <v>887411194.36541677</v>
      </c>
      <c r="I181" s="705">
        <f t="shared" si="47"/>
        <v>841122203.38208473</v>
      </c>
      <c r="J181" s="705">
        <f t="shared" si="47"/>
        <v>794708216.02359796</v>
      </c>
      <c r="K181" s="705">
        <f t="shared" si="47"/>
        <v>641077714.90536749</v>
      </c>
      <c r="L181" s="705">
        <f t="shared" si="47"/>
        <v>784404563.3687433</v>
      </c>
      <c r="M181" s="705">
        <f t="shared" si="47"/>
        <v>797852008.18852091</v>
      </c>
    </row>
    <row r="183" spans="1:14" x14ac:dyDescent="0.2">
      <c r="A183" s="606">
        <f>SUM(B183:M183)</f>
        <v>2808835175.5960002</v>
      </c>
      <c r="B183" s="705">
        <f t="shared" ref="B183:M183" si="48">B13+B22+B38+B61+B49+B122+B85+B97+B133+B143</f>
        <v>237929725.65779656</v>
      </c>
      <c r="C183" s="705">
        <f t="shared" si="48"/>
        <v>310064503.76476431</v>
      </c>
      <c r="D183" s="705">
        <f t="shared" si="48"/>
        <v>203690571.49229574</v>
      </c>
      <c r="E183" s="705">
        <f t="shared" si="48"/>
        <v>264861792.66846818</v>
      </c>
      <c r="F183" s="705">
        <f t="shared" si="48"/>
        <v>264171585.63624153</v>
      </c>
      <c r="G183" s="705">
        <f t="shared" si="48"/>
        <v>249536374.94046071</v>
      </c>
      <c r="H183" s="705">
        <f t="shared" si="48"/>
        <v>237371524.84467238</v>
      </c>
      <c r="I183" s="705">
        <f t="shared" si="48"/>
        <v>228460267.90270102</v>
      </c>
      <c r="J183" s="705">
        <f t="shared" si="48"/>
        <v>215237887.28770077</v>
      </c>
      <c r="K183" s="705">
        <f t="shared" si="48"/>
        <v>169822606.8897543</v>
      </c>
      <c r="L183" s="705">
        <f t="shared" si="48"/>
        <v>211722062.2746577</v>
      </c>
      <c r="M183" s="705">
        <f t="shared" si="48"/>
        <v>215966272.23648694</v>
      </c>
    </row>
    <row r="186" spans="1:14" ht="13.5" thickBot="1" x14ac:dyDescent="0.25">
      <c r="A186" s="1272" t="s">
        <v>385</v>
      </c>
      <c r="B186" s="1272"/>
      <c r="C186" s="1272"/>
      <c r="D186" s="1272"/>
      <c r="E186" s="1272"/>
      <c r="F186" s="1272"/>
      <c r="G186" s="1272"/>
      <c r="H186" s="1272"/>
      <c r="I186" s="1272"/>
      <c r="J186" s="1272"/>
      <c r="K186" s="1272"/>
      <c r="L186" s="1272"/>
      <c r="M186" s="1272"/>
    </row>
    <row r="187" spans="1:14" ht="13.5" thickBot="1" x14ac:dyDescent="0.25">
      <c r="A187" s="1273" t="s">
        <v>507</v>
      </c>
      <c r="B187" s="1274"/>
      <c r="C187" s="1274"/>
      <c r="D187" s="1274"/>
      <c r="E187" s="1274"/>
      <c r="F187" s="1274"/>
      <c r="G187" s="1274"/>
      <c r="H187" s="1274"/>
      <c r="I187" s="1274"/>
      <c r="J187" s="1274"/>
      <c r="K187" s="1274"/>
      <c r="L187" s="1274"/>
      <c r="M187" s="1275"/>
      <c r="N187" s="720"/>
    </row>
    <row r="188" spans="1:14" ht="13.5" thickBot="1" x14ac:dyDescent="0.25">
      <c r="A188" s="721">
        <f>SUM(B188:M188)</f>
        <v>0</v>
      </c>
      <c r="B188" s="722">
        <f>'[5]X22.55 DOF'!B167</f>
        <v>0</v>
      </c>
      <c r="C188" s="722">
        <f>'[5]X22.55 DOF'!C167</f>
        <v>0</v>
      </c>
      <c r="D188" s="722">
        <f>'[5]X22.55 DOF'!D167</f>
        <v>0</v>
      </c>
      <c r="E188" s="722">
        <f>'[5]X22.55 DOF'!E167</f>
        <v>0</v>
      </c>
      <c r="F188" s="722">
        <f>'[5]X22.55 DOF'!F167</f>
        <v>0</v>
      </c>
      <c r="G188" s="722">
        <f>'[5]X22.55 DOF'!G167</f>
        <v>0</v>
      </c>
      <c r="H188" s="722">
        <f>'[5]X22.55 DOF'!H167</f>
        <v>0</v>
      </c>
      <c r="I188" s="722">
        <f>'[5]X22.55 DOF'!I167</f>
        <v>0</v>
      </c>
      <c r="J188" s="722">
        <f>'[5]X22.55 DOF'!J167</f>
        <v>0</v>
      </c>
      <c r="K188" s="722">
        <f>'[5]X22.55 DOF'!K167</f>
        <v>0</v>
      </c>
      <c r="L188" s="722">
        <f>'[5]X22.55 DOF'!L167</f>
        <v>0</v>
      </c>
      <c r="M188" s="722">
        <f>'[5]X22.55 DOF'!M167</f>
        <v>0</v>
      </c>
      <c r="N188" s="720"/>
    </row>
    <row r="189" spans="1:14" ht="13.5" thickBot="1" x14ac:dyDescent="0.25">
      <c r="A189" s="690" t="s">
        <v>176</v>
      </c>
      <c r="B189" s="691" t="s">
        <v>1</v>
      </c>
      <c r="C189" s="691" t="s">
        <v>2</v>
      </c>
      <c r="D189" s="691" t="s">
        <v>3</v>
      </c>
      <c r="E189" s="691" t="s">
        <v>4</v>
      </c>
      <c r="F189" s="691" t="s">
        <v>5</v>
      </c>
      <c r="G189" s="691" t="s">
        <v>6</v>
      </c>
      <c r="H189" s="691" t="s">
        <v>7</v>
      </c>
      <c r="I189" s="691" t="s">
        <v>8</v>
      </c>
      <c r="J189" s="691" t="s">
        <v>9</v>
      </c>
      <c r="K189" s="691" t="s">
        <v>10</v>
      </c>
      <c r="L189" s="691" t="s">
        <v>11</v>
      </c>
      <c r="M189" s="691" t="s">
        <v>12</v>
      </c>
      <c r="N189" s="720"/>
    </row>
    <row r="190" spans="1:14" ht="13.5" thickBot="1" x14ac:dyDescent="0.25">
      <c r="A190" s="857" t="s">
        <v>419</v>
      </c>
      <c r="B190" s="718">
        <v>30660225</v>
      </c>
      <c r="C190" s="718">
        <v>6040453</v>
      </c>
      <c r="D190" s="718">
        <v>4322780</v>
      </c>
      <c r="E190" s="718">
        <v>13458070</v>
      </c>
      <c r="F190" s="718">
        <v>38693636</v>
      </c>
      <c r="G190" s="718">
        <v>19417999</v>
      </c>
      <c r="H190" s="718">
        <v>19217967</v>
      </c>
      <c r="I190" s="718">
        <v>13309077</v>
      </c>
      <c r="J190" s="718">
        <v>11546749</v>
      </c>
      <c r="K190" s="718">
        <v>10219109</v>
      </c>
      <c r="L190" s="718">
        <v>12878645</v>
      </c>
      <c r="M190" s="718">
        <v>13086281</v>
      </c>
      <c r="N190" s="694">
        <f>SUM(B190:M190)</f>
        <v>192850991</v>
      </c>
    </row>
    <row r="191" spans="1:14" ht="13.5" thickBot="1" x14ac:dyDescent="0.25">
      <c r="A191" s="623" t="s">
        <v>418</v>
      </c>
      <c r="B191" s="698">
        <v>0.2</v>
      </c>
      <c r="C191" s="698">
        <v>0.2</v>
      </c>
      <c r="D191" s="698">
        <v>0.2</v>
      </c>
      <c r="E191" s="698">
        <v>0.2</v>
      </c>
      <c r="F191" s="698">
        <v>0.2</v>
      </c>
      <c r="G191" s="698">
        <v>0.2</v>
      </c>
      <c r="H191" s="698">
        <v>0.2</v>
      </c>
      <c r="I191" s="698">
        <v>0.2</v>
      </c>
      <c r="J191" s="698">
        <v>0.2</v>
      </c>
      <c r="K191" s="698">
        <v>0.2</v>
      </c>
      <c r="L191" s="698">
        <v>0.2</v>
      </c>
      <c r="M191" s="698">
        <v>0.2</v>
      </c>
      <c r="N191" s="694"/>
    </row>
    <row r="192" spans="1:14" ht="13.5" thickBot="1" x14ac:dyDescent="0.25">
      <c r="A192" s="857" t="s">
        <v>420</v>
      </c>
      <c r="B192" s="701">
        <f t="shared" ref="B192:M192" si="49">B190*B191</f>
        <v>6132045</v>
      </c>
      <c r="C192" s="701">
        <f t="shared" si="49"/>
        <v>1208090.6000000001</v>
      </c>
      <c r="D192" s="701">
        <f t="shared" si="49"/>
        <v>864556</v>
      </c>
      <c r="E192" s="701">
        <f t="shared" si="49"/>
        <v>2691614</v>
      </c>
      <c r="F192" s="701">
        <f t="shared" si="49"/>
        <v>7738727.2000000002</v>
      </c>
      <c r="G192" s="701">
        <f t="shared" si="49"/>
        <v>3883599.8000000003</v>
      </c>
      <c r="H192" s="701">
        <f t="shared" si="49"/>
        <v>3843593.4000000004</v>
      </c>
      <c r="I192" s="701">
        <f t="shared" si="49"/>
        <v>2661815.4000000004</v>
      </c>
      <c r="J192" s="701">
        <f t="shared" si="49"/>
        <v>2309349.8000000003</v>
      </c>
      <c r="K192" s="701">
        <f t="shared" si="49"/>
        <v>2043821.8</v>
      </c>
      <c r="L192" s="701">
        <f t="shared" si="49"/>
        <v>2575729</v>
      </c>
      <c r="M192" s="701">
        <f t="shared" si="49"/>
        <v>2617256.2000000002</v>
      </c>
      <c r="N192" s="694">
        <f>SUM(B192:M192)</f>
        <v>38570198.200000003</v>
      </c>
    </row>
    <row r="193" spans="1:14" ht="13.5" thickBot="1" x14ac:dyDescent="0.25">
      <c r="A193" s="871" t="s">
        <v>410</v>
      </c>
      <c r="B193" s="858">
        <f>B192/$N$192*100</f>
        <v>15.898401579901655</v>
      </c>
      <c r="C193" s="858">
        <f t="shared" ref="C193:M193" si="50">C192/$N$192*100</f>
        <v>3.1321866528546902</v>
      </c>
      <c r="D193" s="858">
        <f t="shared" si="50"/>
        <v>2.2415129824248607</v>
      </c>
      <c r="E193" s="858">
        <f t="shared" si="50"/>
        <v>6.9784811217278104</v>
      </c>
      <c r="F193" s="858">
        <f t="shared" si="50"/>
        <v>20.064006826908138</v>
      </c>
      <c r="G193" s="858">
        <f t="shared" si="50"/>
        <v>10.068913257490079</v>
      </c>
      <c r="H193" s="858">
        <f t="shared" si="50"/>
        <v>9.965189652564451</v>
      </c>
      <c r="I193" s="858">
        <f t="shared" si="50"/>
        <v>6.9012230276794391</v>
      </c>
      <c r="J193" s="858">
        <f t="shared" si="50"/>
        <v>5.9873941741891281</v>
      </c>
      <c r="K193" s="858">
        <f t="shared" si="50"/>
        <v>5.2989662884335393</v>
      </c>
      <c r="L193" s="858">
        <f t="shared" si="50"/>
        <v>6.6780289451558987</v>
      </c>
      <c r="M193" s="858">
        <f t="shared" si="50"/>
        <v>6.7856954906703066</v>
      </c>
    </row>
    <row r="194" spans="1:14" ht="14.25" thickTop="1" thickBot="1" x14ac:dyDescent="0.25">
      <c r="A194" s="872" t="s">
        <v>422</v>
      </c>
      <c r="B194" s="873">
        <f>$N$194*B193/100</f>
        <v>5564440.5529655786</v>
      </c>
      <c r="C194" s="873">
        <f t="shared" ref="C194:M194" si="51">$N$194*C193/100</f>
        <v>1096265.3284991416</v>
      </c>
      <c r="D194" s="873">
        <f t="shared" si="51"/>
        <v>784529.54384870129</v>
      </c>
      <c r="E194" s="873">
        <f t="shared" si="51"/>
        <v>2442468.3926047338</v>
      </c>
      <c r="F194" s="873">
        <f t="shared" si="51"/>
        <v>7022402.3894178485</v>
      </c>
      <c r="G194" s="873">
        <f t="shared" si="51"/>
        <v>3524119.6401215279</v>
      </c>
      <c r="H194" s="873">
        <f t="shared" si="51"/>
        <v>3487816.3783975579</v>
      </c>
      <c r="I194" s="873">
        <f t="shared" si="51"/>
        <v>2415428.0596878035</v>
      </c>
      <c r="J194" s="873">
        <f t="shared" si="51"/>
        <v>2095587.960966195</v>
      </c>
      <c r="K194" s="873">
        <f t="shared" si="51"/>
        <v>1854638.2009517387</v>
      </c>
      <c r="L194" s="873">
        <f t="shared" si="51"/>
        <v>2337310.1308045648</v>
      </c>
      <c r="M194" s="873">
        <f t="shared" si="51"/>
        <v>2374993.4217346073</v>
      </c>
      <c r="N194" s="874">
        <v>35000000</v>
      </c>
    </row>
    <row r="195" spans="1:14" ht="13.5" thickTop="1" x14ac:dyDescent="0.2"/>
  </sheetData>
  <mergeCells count="38">
    <mergeCell ref="A147:M147"/>
    <mergeCell ref="A156:M156"/>
    <mergeCell ref="A157:M157"/>
    <mergeCell ref="A166:M166"/>
    <mergeCell ref="O166:R174"/>
    <mergeCell ref="A172:M172"/>
    <mergeCell ref="A55:M55"/>
    <mergeCell ref="A66:M66"/>
    <mergeCell ref="A67:M67"/>
    <mergeCell ref="A78:M78"/>
    <mergeCell ref="A138:M138"/>
    <mergeCell ref="A90:M90"/>
    <mergeCell ref="A91:M91"/>
    <mergeCell ref="A101:M101"/>
    <mergeCell ref="A103:M103"/>
    <mergeCell ref="A104:M104"/>
    <mergeCell ref="A115:M115"/>
    <mergeCell ref="A116:M116"/>
    <mergeCell ref="A117:M117"/>
    <mergeCell ref="A127:M127"/>
    <mergeCell ref="A128:M128"/>
    <mergeCell ref="A137:M137"/>
    <mergeCell ref="A186:M186"/>
    <mergeCell ref="A187:M187"/>
    <mergeCell ref="A8:M8"/>
    <mergeCell ref="A1:M1"/>
    <mergeCell ref="A2:M2"/>
    <mergeCell ref="A3:M3"/>
    <mergeCell ref="A4:M4"/>
    <mergeCell ref="A5:M5"/>
    <mergeCell ref="A79:M79"/>
    <mergeCell ref="A17:M17"/>
    <mergeCell ref="A18:M18"/>
    <mergeCell ref="A31:M31"/>
    <mergeCell ref="A32:M32"/>
    <mergeCell ref="A42:M42"/>
    <mergeCell ref="A43:M43"/>
    <mergeCell ref="A54:M54"/>
  </mergeCells>
  <printOptions horizontalCentered="1"/>
  <pageMargins left="0.32" right="0.31" top="0.11811023622047245" bottom="0.31496062992125984" header="0" footer="0"/>
  <pageSetup paperSize="5" scale="90" fitToHeight="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5"/>
  <sheetViews>
    <sheetView zoomScaleNormal="100" workbookViewId="0">
      <selection activeCell="B1" sqref="B1:K1"/>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9" customWidth="1"/>
    <col min="8" max="8" width="12.140625" style="9" customWidth="1"/>
    <col min="9" max="9" width="13.28515625" customWidth="1"/>
    <col min="10" max="10" width="13.140625" style="129" customWidth="1"/>
    <col min="11" max="11" width="13.85546875" style="129" customWidth="1"/>
    <col min="12" max="14" width="0" hidden="1" customWidth="1"/>
  </cols>
  <sheetData>
    <row r="1" spans="2:14" x14ac:dyDescent="0.25">
      <c r="B1" s="1063" t="s">
        <v>438</v>
      </c>
      <c r="C1" s="1063"/>
      <c r="D1" s="1063"/>
      <c r="E1" s="1063"/>
      <c r="F1" s="1063"/>
      <c r="G1" s="1063"/>
      <c r="H1" s="1063"/>
      <c r="I1" s="1063"/>
      <c r="J1" s="1063"/>
      <c r="K1" s="1063"/>
    </row>
    <row r="2" spans="2:14" x14ac:dyDescent="0.25">
      <c r="B2" s="957"/>
      <c r="C2" s="957"/>
      <c r="D2" s="957"/>
      <c r="E2" s="957"/>
      <c r="F2" s="957"/>
      <c r="G2" s="957"/>
      <c r="H2" s="957"/>
      <c r="I2" s="957"/>
      <c r="J2" s="957"/>
      <c r="K2" s="957"/>
    </row>
    <row r="3" spans="2:14" ht="15.75" thickBot="1" x14ac:dyDescent="0.3"/>
    <row r="4" spans="2:14" ht="15" customHeight="1" x14ac:dyDescent="0.25">
      <c r="B4" s="1090" t="s">
        <v>83</v>
      </c>
      <c r="C4" s="1095" t="s">
        <v>243</v>
      </c>
      <c r="D4" s="1093" t="s">
        <v>267</v>
      </c>
      <c r="E4" s="1093" t="s">
        <v>263</v>
      </c>
      <c r="F4" s="1093" t="s">
        <v>266</v>
      </c>
      <c r="G4" s="1093" t="s">
        <v>367</v>
      </c>
      <c r="H4" s="1095" t="s">
        <v>264</v>
      </c>
      <c r="I4" s="1093" t="s">
        <v>245</v>
      </c>
      <c r="J4" s="1093" t="s">
        <v>439</v>
      </c>
      <c r="K4" s="1097" t="s">
        <v>265</v>
      </c>
    </row>
    <row r="5" spans="2:14" x14ac:dyDescent="0.25">
      <c r="B5" s="1091"/>
      <c r="C5" s="1096"/>
      <c r="D5" s="1094"/>
      <c r="E5" s="1094"/>
      <c r="F5" s="1094"/>
      <c r="G5" s="1094"/>
      <c r="H5" s="1096"/>
      <c r="I5" s="1094"/>
      <c r="J5" s="1094"/>
      <c r="K5" s="1098"/>
    </row>
    <row r="6" spans="2:14" x14ac:dyDescent="0.25">
      <c r="B6" s="1091"/>
      <c r="C6" s="1096"/>
      <c r="D6" s="1094"/>
      <c r="E6" s="1094"/>
      <c r="F6" s="1094"/>
      <c r="G6" s="1094"/>
      <c r="H6" s="1096"/>
      <c r="I6" s="1094"/>
      <c r="J6" s="1094"/>
      <c r="K6" s="1098"/>
    </row>
    <row r="7" spans="2:14" ht="15.75" thickBot="1" x14ac:dyDescent="0.3">
      <c r="B7" s="1092"/>
      <c r="C7" s="378" t="s">
        <v>70</v>
      </c>
      <c r="D7" s="378" t="s">
        <v>97</v>
      </c>
      <c r="E7" s="378" t="s">
        <v>71</v>
      </c>
      <c r="F7" s="378" t="s">
        <v>98</v>
      </c>
      <c r="G7" s="378" t="s">
        <v>73</v>
      </c>
      <c r="H7" s="378" t="s">
        <v>133</v>
      </c>
      <c r="I7" s="379" t="s">
        <v>134</v>
      </c>
      <c r="J7" s="378" t="s">
        <v>75</v>
      </c>
      <c r="K7" s="380" t="s">
        <v>135</v>
      </c>
      <c r="L7" s="138" t="s">
        <v>106</v>
      </c>
      <c r="M7" s="138" t="s">
        <v>136</v>
      </c>
      <c r="N7" s="139"/>
    </row>
    <row r="8" spans="2:14" x14ac:dyDescent="0.25">
      <c r="B8" s="381" t="s">
        <v>45</v>
      </c>
      <c r="C8" s="382">
        <v>3.65</v>
      </c>
      <c r="D8" s="383">
        <f>$D$28*C8/100</f>
        <v>1608902.6625000001</v>
      </c>
      <c r="E8" s="384">
        <f>'Predial y Agua'!G9</f>
        <v>12154053.73</v>
      </c>
      <c r="F8" s="385">
        <f>E8/$E$28*100</f>
        <v>1.5176512594746976</v>
      </c>
      <c r="G8" s="152">
        <f>'CENSO 2020'!C10</f>
        <v>37232</v>
      </c>
      <c r="H8" s="152">
        <f>F8*G8</f>
        <v>56505.191692761939</v>
      </c>
      <c r="I8" s="386">
        <f>H8/H$28*100</f>
        <v>0.23811380240433105</v>
      </c>
      <c r="J8" s="387">
        <f>$J$28*I8/100</f>
        <v>120233.24136675382</v>
      </c>
      <c r="K8" s="388">
        <f t="shared" ref="K8:K27" si="0">D8+J8</f>
        <v>1729135.9038667539</v>
      </c>
      <c r="L8" s="140">
        <f>I8</f>
        <v>0.23811380240433105</v>
      </c>
      <c r="M8" s="139">
        <v>0.307836</v>
      </c>
      <c r="N8" s="140">
        <f>L8-M8</f>
        <v>-6.9722197595668944E-2</v>
      </c>
    </row>
    <row r="9" spans="2:14" x14ac:dyDescent="0.25">
      <c r="B9" s="389" t="s">
        <v>46</v>
      </c>
      <c r="C9" s="382">
        <v>1.49</v>
      </c>
      <c r="D9" s="383">
        <f t="shared" ref="D9:D27" si="1">$D$28*C9/100</f>
        <v>656784.92249999999</v>
      </c>
      <c r="E9" s="384">
        <f>'Predial y Agua'!G10</f>
        <v>6882965.5</v>
      </c>
      <c r="F9" s="385">
        <f t="shared" ref="F9:F27" si="2">E9/$E$28*100</f>
        <v>0.85946150083342532</v>
      </c>
      <c r="G9" s="152">
        <f>'CENSO 2020'!C11</f>
        <v>15393</v>
      </c>
      <c r="H9" s="152">
        <f t="shared" ref="H9:H27" si="3">F9*G9</f>
        <v>13229.690882328916</v>
      </c>
      <c r="I9" s="386">
        <f t="shared" ref="I9:I28" si="4">H9/H$28*100</f>
        <v>5.5750133859447999E-2</v>
      </c>
      <c r="J9" s="387">
        <f t="shared" ref="J9:J27" si="5">$J$28*I9/100</f>
        <v>28150.486166147271</v>
      </c>
      <c r="K9" s="388">
        <f t="shared" si="0"/>
        <v>684935.40866614727</v>
      </c>
      <c r="L9" s="140">
        <f t="shared" ref="L9:L27" si="6">I9</f>
        <v>5.5750133859447999E-2</v>
      </c>
      <c r="M9" s="139">
        <v>5.7023999999999998E-2</v>
      </c>
      <c r="N9" s="140">
        <f t="shared" ref="N9:N27" si="7">L9-M9</f>
        <v>-1.2738661405519991E-3</v>
      </c>
    </row>
    <row r="10" spans="2:14" x14ac:dyDescent="0.25">
      <c r="B10" s="389" t="s">
        <v>47</v>
      </c>
      <c r="C10" s="382">
        <v>1.0900000000000001</v>
      </c>
      <c r="D10" s="383">
        <f t="shared" si="1"/>
        <v>480466.82250000001</v>
      </c>
      <c r="E10" s="384">
        <f>'Predial y Agua'!G11</f>
        <v>3352527.58</v>
      </c>
      <c r="F10" s="385">
        <f t="shared" si="2"/>
        <v>0.41862310445871798</v>
      </c>
      <c r="G10" s="152">
        <f>'CENSO 2020'!C12</f>
        <v>11536</v>
      </c>
      <c r="H10" s="152">
        <f t="shared" si="3"/>
        <v>4829.2361330357708</v>
      </c>
      <c r="I10" s="386">
        <f t="shared" si="4"/>
        <v>2.0350480086820645E-2</v>
      </c>
      <c r="J10" s="387">
        <f t="shared" si="5"/>
        <v>10275.77637038112</v>
      </c>
      <c r="K10" s="388">
        <f t="shared" si="0"/>
        <v>490742.59887038113</v>
      </c>
      <c r="L10" s="140">
        <f t="shared" si="6"/>
        <v>2.0350480086820645E-2</v>
      </c>
      <c r="M10" s="139">
        <v>3.8598E-2</v>
      </c>
      <c r="N10" s="140">
        <f t="shared" si="7"/>
        <v>-1.8247519913179355E-2</v>
      </c>
    </row>
    <row r="11" spans="2:14" x14ac:dyDescent="0.25">
      <c r="B11" s="389" t="s">
        <v>48</v>
      </c>
      <c r="C11" s="382">
        <v>8.82</v>
      </c>
      <c r="D11" s="383">
        <f t="shared" si="1"/>
        <v>3887814.105</v>
      </c>
      <c r="E11" s="384">
        <f>'Predial y Agua'!G12</f>
        <v>336468251.90999997</v>
      </c>
      <c r="F11" s="385">
        <f t="shared" si="2"/>
        <v>42.014086627249206</v>
      </c>
      <c r="G11" s="152">
        <f>'CENSO 2020'!C13</f>
        <v>187632</v>
      </c>
      <c r="H11" s="152">
        <f t="shared" si="3"/>
        <v>7883187.1020440226</v>
      </c>
      <c r="I11" s="386">
        <f t="shared" si="4"/>
        <v>33.219879442917254</v>
      </c>
      <c r="J11" s="387">
        <f t="shared" si="5"/>
        <v>16774054.014947286</v>
      </c>
      <c r="K11" s="388">
        <f t="shared" si="0"/>
        <v>20661868.119947284</v>
      </c>
      <c r="L11" s="140">
        <f t="shared" si="6"/>
        <v>33.219879442917254</v>
      </c>
      <c r="M11" s="139">
        <v>27.722322999999999</v>
      </c>
      <c r="N11" s="140">
        <f t="shared" si="7"/>
        <v>5.4975564429172543</v>
      </c>
    </row>
    <row r="12" spans="2:14" x14ac:dyDescent="0.25">
      <c r="B12" s="389" t="s">
        <v>49</v>
      </c>
      <c r="C12" s="382">
        <v>6.63</v>
      </c>
      <c r="D12" s="383">
        <f t="shared" si="1"/>
        <v>2922472.5074999998</v>
      </c>
      <c r="E12" s="384">
        <f>'Predial y Agua'!G13</f>
        <v>59487059.099999994</v>
      </c>
      <c r="F12" s="385">
        <f t="shared" si="2"/>
        <v>7.4280246057099468</v>
      </c>
      <c r="G12" s="152">
        <f>'CENSO 2020'!C14</f>
        <v>77436</v>
      </c>
      <c r="H12" s="152">
        <f t="shared" si="3"/>
        <v>575196.51336775545</v>
      </c>
      <c r="I12" s="386">
        <f t="shared" si="4"/>
        <v>2.4238875194410521</v>
      </c>
      <c r="J12" s="387">
        <f t="shared" si="5"/>
        <v>1223918.3542831761</v>
      </c>
      <c r="K12" s="388">
        <f t="shared" si="0"/>
        <v>4146390.8617831757</v>
      </c>
      <c r="L12" s="140">
        <f t="shared" si="6"/>
        <v>2.4238875194410521</v>
      </c>
      <c r="M12" s="139">
        <v>1.5035639999999999</v>
      </c>
      <c r="N12" s="140">
        <f t="shared" si="7"/>
        <v>0.92032351944105217</v>
      </c>
    </row>
    <row r="13" spans="2:14" x14ac:dyDescent="0.25">
      <c r="B13" s="389" t="s">
        <v>50</v>
      </c>
      <c r="C13" s="382">
        <v>3.22</v>
      </c>
      <c r="D13" s="383">
        <f t="shared" si="1"/>
        <v>1419360.7050000001</v>
      </c>
      <c r="E13" s="384">
        <f>'Predial y Agua'!G14</f>
        <v>171868.4</v>
      </c>
      <c r="F13" s="385">
        <f t="shared" si="2"/>
        <v>2.1460847509672899E-2</v>
      </c>
      <c r="G13" s="152">
        <f>'CENSO 2020'!C15</f>
        <v>47550</v>
      </c>
      <c r="H13" s="152">
        <f t="shared" si="3"/>
        <v>1020.4632990849464</v>
      </c>
      <c r="I13" s="386">
        <f t="shared" si="4"/>
        <v>4.3002490404843649E-3</v>
      </c>
      <c r="J13" s="387">
        <f t="shared" si="5"/>
        <v>2171.3687976128167</v>
      </c>
      <c r="K13" s="388">
        <f t="shared" si="0"/>
        <v>1421532.0737976129</v>
      </c>
      <c r="L13" s="140">
        <f t="shared" si="6"/>
        <v>4.3002490404843649E-3</v>
      </c>
      <c r="M13" s="139">
        <v>1.0524E-2</v>
      </c>
      <c r="N13" s="140">
        <f t="shared" si="7"/>
        <v>-6.2237509595156355E-3</v>
      </c>
    </row>
    <row r="14" spans="2:14" x14ac:dyDescent="0.25">
      <c r="B14" s="389" t="s">
        <v>51</v>
      </c>
      <c r="C14" s="382">
        <v>1.1100000000000001</v>
      </c>
      <c r="D14" s="383">
        <f t="shared" si="1"/>
        <v>489282.7275000001</v>
      </c>
      <c r="E14" s="384">
        <f>'Predial y Agua'!G15</f>
        <v>148220.89000000001</v>
      </c>
      <c r="F14" s="385">
        <f t="shared" si="2"/>
        <v>1.8508032413393046E-2</v>
      </c>
      <c r="G14" s="152">
        <f>'CENSO 2020'!C16</f>
        <v>12230</v>
      </c>
      <c r="H14" s="152">
        <f t="shared" si="3"/>
        <v>226.35323641579694</v>
      </c>
      <c r="I14" s="386">
        <f t="shared" si="4"/>
        <v>9.5385624214059555E-4</v>
      </c>
      <c r="J14" s="387">
        <f t="shared" si="5"/>
        <v>481.64040317046738</v>
      </c>
      <c r="K14" s="388">
        <f t="shared" si="0"/>
        <v>489764.36790317058</v>
      </c>
      <c r="L14" s="140">
        <f t="shared" si="6"/>
        <v>9.5385624214059555E-4</v>
      </c>
      <c r="M14" s="139">
        <v>6.78E-4</v>
      </c>
      <c r="N14" s="140">
        <f t="shared" si="7"/>
        <v>2.7585624214059555E-4</v>
      </c>
    </row>
    <row r="15" spans="2:14" x14ac:dyDescent="0.25">
      <c r="B15" s="389" t="s">
        <v>52</v>
      </c>
      <c r="C15" s="382">
        <v>2.71</v>
      </c>
      <c r="D15" s="383">
        <f t="shared" si="1"/>
        <v>1194555.1274999999</v>
      </c>
      <c r="E15" s="384">
        <f>'Predial y Agua'!G16</f>
        <v>13225625.039999999</v>
      </c>
      <c r="F15" s="385">
        <f t="shared" si="2"/>
        <v>1.6514561269177552</v>
      </c>
      <c r="G15" s="152">
        <f>'CENSO 2020'!C17</f>
        <v>29299</v>
      </c>
      <c r="H15" s="152">
        <f t="shared" si="3"/>
        <v>48386.01306256331</v>
      </c>
      <c r="I15" s="386">
        <f t="shared" si="4"/>
        <v>0.20389945080017163</v>
      </c>
      <c r="J15" s="387">
        <f t="shared" si="5"/>
        <v>102957.03833655495</v>
      </c>
      <c r="K15" s="388">
        <f t="shared" si="0"/>
        <v>1297512.165836555</v>
      </c>
      <c r="L15" s="140">
        <f t="shared" si="6"/>
        <v>0.20389945080017163</v>
      </c>
      <c r="M15" s="139">
        <v>0.364313</v>
      </c>
      <c r="N15" s="140">
        <f t="shared" si="7"/>
        <v>-0.16041354919982836</v>
      </c>
    </row>
    <row r="16" spans="2:14" x14ac:dyDescent="0.25">
      <c r="B16" s="389" t="s">
        <v>53</v>
      </c>
      <c r="C16" s="382">
        <v>1.69</v>
      </c>
      <c r="D16" s="383">
        <f t="shared" si="1"/>
        <v>744943.97250000003</v>
      </c>
      <c r="E16" s="384">
        <f>'Predial y Agua'!G17</f>
        <v>5088832.29</v>
      </c>
      <c r="F16" s="385">
        <f t="shared" si="2"/>
        <v>0.63543184074553283</v>
      </c>
      <c r="G16" s="152">
        <f>'CENSO 2020'!C18</f>
        <v>19321</v>
      </c>
      <c r="H16" s="152">
        <f t="shared" si="3"/>
        <v>12277.178595044439</v>
      </c>
      <c r="I16" s="386">
        <f t="shared" si="4"/>
        <v>5.1736231494593159E-2</v>
      </c>
      <c r="J16" s="387">
        <f t="shared" si="5"/>
        <v>26123.705328652242</v>
      </c>
      <c r="K16" s="388">
        <f t="shared" si="0"/>
        <v>771067.67782865232</v>
      </c>
      <c r="L16" s="140">
        <f t="shared" si="6"/>
        <v>5.1736231494593159E-2</v>
      </c>
      <c r="M16" s="139">
        <v>6.7258999999999999E-2</v>
      </c>
      <c r="N16" s="140">
        <f t="shared" si="7"/>
        <v>-1.5522768505406841E-2</v>
      </c>
    </row>
    <row r="17" spans="2:20" x14ac:dyDescent="0.25">
      <c r="B17" s="389" t="s">
        <v>54</v>
      </c>
      <c r="C17" s="382">
        <v>1.27</v>
      </c>
      <c r="D17" s="383">
        <f t="shared" si="1"/>
        <v>559809.96750000003</v>
      </c>
      <c r="E17" s="384">
        <f>'Predial y Agua'!G18</f>
        <v>838691.02</v>
      </c>
      <c r="F17" s="385">
        <f t="shared" si="2"/>
        <v>0.10472559288357852</v>
      </c>
      <c r="G17" s="152">
        <f>'CENSO 2020'!C19</f>
        <v>13719</v>
      </c>
      <c r="H17" s="152">
        <f t="shared" si="3"/>
        <v>1436.7304087698137</v>
      </c>
      <c r="I17" s="386">
        <f t="shared" si="4"/>
        <v>6.0544054521972594E-3</v>
      </c>
      <c r="J17" s="387">
        <f t="shared" si="5"/>
        <v>3057.1129632802122</v>
      </c>
      <c r="K17" s="388">
        <f t="shared" si="0"/>
        <v>562867.0804632802</v>
      </c>
      <c r="L17" s="140">
        <f t="shared" si="6"/>
        <v>6.0544054521972594E-3</v>
      </c>
      <c r="M17" s="139">
        <v>7.6290000000000004E-3</v>
      </c>
      <c r="N17" s="140">
        <f t="shared" si="7"/>
        <v>-1.574594547802741E-3</v>
      </c>
    </row>
    <row r="18" spans="2:20" x14ac:dyDescent="0.25">
      <c r="B18" s="389" t="s">
        <v>55</v>
      </c>
      <c r="C18" s="382">
        <v>3.39</v>
      </c>
      <c r="D18" s="383">
        <f t="shared" si="1"/>
        <v>1494295.8975</v>
      </c>
      <c r="E18" s="384">
        <f>'Predial y Agua'!G19</f>
        <v>2832078.8</v>
      </c>
      <c r="F18" s="385">
        <f t="shared" si="2"/>
        <v>0.35363575422926735</v>
      </c>
      <c r="G18" s="152">
        <f>'CENSO 2020'!C20</f>
        <v>33567</v>
      </c>
      <c r="H18" s="152">
        <f t="shared" si="3"/>
        <v>11870.491362213817</v>
      </c>
      <c r="I18" s="386">
        <f t="shared" si="4"/>
        <v>5.0022444840702396E-2</v>
      </c>
      <c r="J18" s="387">
        <f t="shared" si="5"/>
        <v>25258.345478329589</v>
      </c>
      <c r="K18" s="388">
        <f t="shared" si="0"/>
        <v>1519554.2429783295</v>
      </c>
      <c r="L18" s="140">
        <f t="shared" si="6"/>
        <v>5.0022444840702396E-2</v>
      </c>
      <c r="M18" s="139">
        <v>5.3082999999999998E-2</v>
      </c>
      <c r="N18" s="140">
        <f t="shared" si="7"/>
        <v>-3.0605551592976024E-3</v>
      </c>
    </row>
    <row r="19" spans="2:20" x14ac:dyDescent="0.25">
      <c r="B19" s="389" t="s">
        <v>56</v>
      </c>
      <c r="C19" s="382">
        <v>2.21</v>
      </c>
      <c r="D19" s="383">
        <f t="shared" si="1"/>
        <v>974157.50249999994</v>
      </c>
      <c r="E19" s="384">
        <f>'Predial y Agua'!G20</f>
        <v>3147655.25</v>
      </c>
      <c r="F19" s="385">
        <f t="shared" si="2"/>
        <v>0.39304112526369789</v>
      </c>
      <c r="G19" s="152">
        <f>'CENSO 2020'!C21</f>
        <v>24096</v>
      </c>
      <c r="H19" s="152">
        <f t="shared" si="3"/>
        <v>9470.7189543540644</v>
      </c>
      <c r="I19" s="386">
        <f t="shared" si="4"/>
        <v>3.9909764645801309E-2</v>
      </c>
      <c r="J19" s="387">
        <f t="shared" si="5"/>
        <v>20152.046278278605</v>
      </c>
      <c r="K19" s="388">
        <f t="shared" si="0"/>
        <v>994309.54877827852</v>
      </c>
      <c r="L19" s="140">
        <f t="shared" si="6"/>
        <v>3.9909764645801309E-2</v>
      </c>
      <c r="M19" s="139">
        <v>4.0325E-2</v>
      </c>
      <c r="N19" s="140">
        <f t="shared" si="7"/>
        <v>-4.1523535419869112E-4</v>
      </c>
    </row>
    <row r="20" spans="2:20" x14ac:dyDescent="0.25">
      <c r="B20" s="389" t="s">
        <v>57</v>
      </c>
      <c r="C20" s="382">
        <v>3.95</v>
      </c>
      <c r="D20" s="383">
        <f t="shared" si="1"/>
        <v>1741141.2375</v>
      </c>
      <c r="E20" s="384">
        <f>'Predial y Agua'!G21</f>
        <v>6543396.5999999996</v>
      </c>
      <c r="F20" s="385">
        <f t="shared" si="2"/>
        <v>0.81706024276662903</v>
      </c>
      <c r="G20" s="152">
        <f>'CENSO 2020'!C22</f>
        <v>41518</v>
      </c>
      <c r="H20" s="152">
        <f t="shared" si="3"/>
        <v>33922.707159184902</v>
      </c>
      <c r="I20" s="386">
        <f t="shared" si="4"/>
        <v>0.14295084305601649</v>
      </c>
      <c r="J20" s="387">
        <f t="shared" si="5"/>
        <v>72181.633501235265</v>
      </c>
      <c r="K20" s="388">
        <f t="shared" si="0"/>
        <v>1813322.8710012352</v>
      </c>
      <c r="L20" s="140">
        <f t="shared" si="6"/>
        <v>0.14295084305601649</v>
      </c>
      <c r="M20" s="139">
        <v>0.15141299999999999</v>
      </c>
      <c r="N20" s="140">
        <f t="shared" si="7"/>
        <v>-8.4621569439835009E-3</v>
      </c>
    </row>
    <row r="21" spans="2:20" x14ac:dyDescent="0.25">
      <c r="B21" s="389" t="s">
        <v>58</v>
      </c>
      <c r="C21" s="382">
        <v>0.75</v>
      </c>
      <c r="D21" s="383">
        <f t="shared" si="1"/>
        <v>330596.4375</v>
      </c>
      <c r="E21" s="384">
        <f>'Predial y Agua'!G22</f>
        <v>2330761.59</v>
      </c>
      <c r="F21" s="385">
        <f t="shared" si="2"/>
        <v>0.2910373231169473</v>
      </c>
      <c r="G21" s="152">
        <f>'CENSO 2020'!C23</f>
        <v>7683</v>
      </c>
      <c r="H21" s="152">
        <f t="shared" si="3"/>
        <v>2236.0397535075062</v>
      </c>
      <c r="I21" s="386">
        <f t="shared" si="4"/>
        <v>9.4227081102552478E-3</v>
      </c>
      <c r="J21" s="387">
        <f t="shared" si="5"/>
        <v>4757.9045276217103</v>
      </c>
      <c r="K21" s="388">
        <f t="shared" si="0"/>
        <v>335354.34202762169</v>
      </c>
      <c r="L21" s="140">
        <f t="shared" si="6"/>
        <v>9.4227081102552478E-3</v>
      </c>
      <c r="M21" s="139">
        <v>7.8689999999999993E-3</v>
      </c>
      <c r="N21" s="140">
        <f t="shared" si="7"/>
        <v>1.5537081102552485E-3</v>
      </c>
    </row>
    <row r="22" spans="2:20" x14ac:dyDescent="0.25">
      <c r="B22" s="389" t="s">
        <v>59</v>
      </c>
      <c r="C22" s="382">
        <v>2.2799999999999998</v>
      </c>
      <c r="D22" s="383">
        <f t="shared" si="1"/>
        <v>1005013.1699999998</v>
      </c>
      <c r="E22" s="384">
        <f>'Predial y Agua'!G23</f>
        <v>4292702.12</v>
      </c>
      <c r="F22" s="385">
        <f t="shared" si="2"/>
        <v>0.53602073215186485</v>
      </c>
      <c r="G22" s="152">
        <f>'CENSO 2020'!C24</f>
        <v>24911</v>
      </c>
      <c r="H22" s="152">
        <f t="shared" si="3"/>
        <v>13352.812458635106</v>
      </c>
      <c r="I22" s="386">
        <f t="shared" si="4"/>
        <v>5.6268970196676774E-2</v>
      </c>
      <c r="J22" s="387">
        <f t="shared" si="5"/>
        <v>28412.467512604217</v>
      </c>
      <c r="K22" s="388">
        <f t="shared" si="0"/>
        <v>1033425.637512604</v>
      </c>
      <c r="L22" s="140">
        <f t="shared" si="6"/>
        <v>5.6268970196676774E-2</v>
      </c>
      <c r="M22" s="139">
        <v>8.7175000000000002E-2</v>
      </c>
      <c r="N22" s="140">
        <f t="shared" si="7"/>
        <v>-3.0906029803323229E-2</v>
      </c>
    </row>
    <row r="23" spans="2:20" x14ac:dyDescent="0.25">
      <c r="B23" s="389" t="s">
        <v>60</v>
      </c>
      <c r="C23" s="382">
        <v>8.8800000000000008</v>
      </c>
      <c r="D23" s="383">
        <f t="shared" si="1"/>
        <v>3914261.8200000008</v>
      </c>
      <c r="E23" s="384">
        <f>'Predial y Agua'!G24</f>
        <v>20249401.050000001</v>
      </c>
      <c r="F23" s="385">
        <f t="shared" si="2"/>
        <v>2.5285003415186287</v>
      </c>
      <c r="G23" s="152">
        <f>'CENSO 2020'!C25</f>
        <v>93981</v>
      </c>
      <c r="H23" s="152">
        <f t="shared" si="3"/>
        <v>237630.99059626224</v>
      </c>
      <c r="I23" s="386">
        <f t="shared" si="4"/>
        <v>1.0013808827982771</v>
      </c>
      <c r="J23" s="387">
        <f t="shared" si="5"/>
        <v>505637.50679640711</v>
      </c>
      <c r="K23" s="388">
        <f t="shared" si="0"/>
        <v>4419899.3267964078</v>
      </c>
      <c r="L23" s="140">
        <f t="shared" si="6"/>
        <v>1.0013808827982771</v>
      </c>
      <c r="M23" s="139">
        <v>1.2821199999999999</v>
      </c>
      <c r="N23" s="140">
        <f t="shared" si="7"/>
        <v>-0.28073911720172284</v>
      </c>
    </row>
    <row r="24" spans="2:20" x14ac:dyDescent="0.25">
      <c r="B24" s="389" t="s">
        <v>61</v>
      </c>
      <c r="C24" s="382">
        <v>3.92</v>
      </c>
      <c r="D24" s="383">
        <f t="shared" si="1"/>
        <v>1727917.38</v>
      </c>
      <c r="E24" s="384">
        <f>'Predial y Agua'!G25</f>
        <v>6350766.8900000006</v>
      </c>
      <c r="F24" s="385">
        <f t="shared" si="2"/>
        <v>0.79300697391591257</v>
      </c>
      <c r="G24" s="152">
        <f>'CENSO 2020'!C26</f>
        <v>37135</v>
      </c>
      <c r="H24" s="152">
        <f t="shared" si="3"/>
        <v>29448.313976367412</v>
      </c>
      <c r="I24" s="386">
        <f t="shared" si="4"/>
        <v>0.12409567696781501</v>
      </c>
      <c r="J24" s="387">
        <f t="shared" si="5"/>
        <v>62660.90134542586</v>
      </c>
      <c r="K24" s="388">
        <f t="shared" si="0"/>
        <v>1790578.2813454256</v>
      </c>
      <c r="L24" s="140">
        <f t="shared" si="6"/>
        <v>0.12409567696781501</v>
      </c>
      <c r="M24" s="139">
        <v>0.39474799999999999</v>
      </c>
      <c r="N24" s="140">
        <f t="shared" si="7"/>
        <v>-0.270652323032185</v>
      </c>
    </row>
    <row r="25" spans="2:20" x14ac:dyDescent="0.25">
      <c r="B25" s="389" t="s">
        <v>62</v>
      </c>
      <c r="C25" s="382">
        <v>35.42</v>
      </c>
      <c r="D25" s="383">
        <f t="shared" si="1"/>
        <v>15612967.755000001</v>
      </c>
      <c r="E25" s="384">
        <f>'Predial y Agua'!G26</f>
        <v>271389232.78000003</v>
      </c>
      <c r="F25" s="385">
        <f t="shared" si="2"/>
        <v>33.887805672588463</v>
      </c>
      <c r="G25" s="152">
        <f>'CENSO 2020'!C27</f>
        <v>425924</v>
      </c>
      <c r="H25" s="152">
        <f t="shared" si="3"/>
        <v>14433629.743291568</v>
      </c>
      <c r="I25" s="386">
        <f t="shared" si="4"/>
        <v>60.823551919949473</v>
      </c>
      <c r="J25" s="387">
        <f t="shared" si="5"/>
        <v>30712259.116994187</v>
      </c>
      <c r="K25" s="388">
        <f t="shared" si="0"/>
        <v>46325226.87199419</v>
      </c>
      <c r="L25" s="140">
        <f t="shared" si="6"/>
        <v>60.823551919949473</v>
      </c>
      <c r="M25" s="139">
        <v>66.428610000000006</v>
      </c>
      <c r="N25" s="140">
        <f t="shared" si="7"/>
        <v>-5.605058080050533</v>
      </c>
    </row>
    <row r="26" spans="2:20" x14ac:dyDescent="0.25">
      <c r="B26" s="389" t="s">
        <v>63</v>
      </c>
      <c r="C26" s="382">
        <v>3</v>
      </c>
      <c r="D26" s="383">
        <f t="shared" si="1"/>
        <v>1322385.75</v>
      </c>
      <c r="E26" s="384">
        <f>'Predial y Agua'!G27</f>
        <v>2577638.86</v>
      </c>
      <c r="F26" s="385">
        <f t="shared" si="2"/>
        <v>0.32186437128330214</v>
      </c>
      <c r="G26" s="152">
        <f>'CENSO 2020'!C28</f>
        <v>30064</v>
      </c>
      <c r="H26" s="152">
        <f t="shared" si="3"/>
        <v>9676.5304582611952</v>
      </c>
      <c r="I26" s="386">
        <f t="shared" si="4"/>
        <v>4.077705769101999E-2</v>
      </c>
      <c r="J26" s="387">
        <f t="shared" si="5"/>
        <v>20589.977439717186</v>
      </c>
      <c r="K26" s="388">
        <f t="shared" si="0"/>
        <v>1342975.7274397172</v>
      </c>
      <c r="L26" s="140">
        <f t="shared" si="6"/>
        <v>4.077705769101999E-2</v>
      </c>
      <c r="M26" s="139">
        <v>4.3832000000000003E-2</v>
      </c>
      <c r="N26" s="140">
        <f t="shared" si="7"/>
        <v>-3.0549423089800132E-3</v>
      </c>
    </row>
    <row r="27" spans="2:20" ht="15.75" thickBot="1" x14ac:dyDescent="0.3">
      <c r="B27" s="389" t="s">
        <v>64</v>
      </c>
      <c r="C27" s="390">
        <v>4.5199999999999996</v>
      </c>
      <c r="D27" s="391">
        <f t="shared" si="1"/>
        <v>1992394.5299999998</v>
      </c>
      <c r="E27" s="392">
        <f>'Predial y Agua'!G28</f>
        <v>43314555.549999997</v>
      </c>
      <c r="F27" s="393">
        <f t="shared" si="2"/>
        <v>5.4085979249693716</v>
      </c>
      <c r="G27" s="152">
        <f>'CENSO 2020'!C29</f>
        <v>65229</v>
      </c>
      <c r="H27" s="156">
        <f t="shared" si="3"/>
        <v>352797.43404782715</v>
      </c>
      <c r="I27" s="394">
        <f t="shared" si="4"/>
        <v>1.4866941600054797</v>
      </c>
      <c r="J27" s="395">
        <f t="shared" si="5"/>
        <v>750691.71116319508</v>
      </c>
      <c r="K27" s="396">
        <f t="shared" si="0"/>
        <v>2743086.2411631951</v>
      </c>
      <c r="L27" s="140">
        <f t="shared" si="6"/>
        <v>1.4866941600054797</v>
      </c>
      <c r="M27" s="139">
        <v>1.431076</v>
      </c>
      <c r="N27" s="140">
        <f t="shared" si="7"/>
        <v>5.56181600054797E-2</v>
      </c>
    </row>
    <row r="28" spans="2:20" ht="15.75" thickBot="1" x14ac:dyDescent="0.3">
      <c r="B28" s="397" t="s">
        <v>65</v>
      </c>
      <c r="C28" s="398">
        <f t="shared" ref="C28:H28" si="8">SUM(C8:C27)</f>
        <v>100.00000000000001</v>
      </c>
      <c r="D28" s="399">
        <f>Datos!K35</f>
        <v>44079525</v>
      </c>
      <c r="E28" s="400">
        <f t="shared" si="8"/>
        <v>800846284.94999993</v>
      </c>
      <c r="F28" s="401">
        <f t="shared" si="8"/>
        <v>100</v>
      </c>
      <c r="G28" s="116">
        <f t="shared" si="8"/>
        <v>1235456</v>
      </c>
      <c r="H28" s="116">
        <f t="shared" si="8"/>
        <v>23730330.254779961</v>
      </c>
      <c r="I28" s="327">
        <f t="shared" si="4"/>
        <v>100</v>
      </c>
      <c r="J28" s="402">
        <f>Datos!K36</f>
        <v>50494024.350000009</v>
      </c>
      <c r="K28" s="403">
        <f>SUM(K8:K27)</f>
        <v>94573549.350000009</v>
      </c>
      <c r="L28" s="141">
        <f t="shared" ref="L28:N28" si="9">SUM(L8:L27)</f>
        <v>100</v>
      </c>
      <c r="M28" s="141">
        <f t="shared" si="9"/>
        <v>99.999999000000003</v>
      </c>
      <c r="N28" s="141">
        <f t="shared" si="9"/>
        <v>1.000000004192092E-6</v>
      </c>
    </row>
    <row r="29" spans="2:20" x14ac:dyDescent="0.25">
      <c r="B29" s="1086" t="s">
        <v>295</v>
      </c>
      <c r="C29" s="1086"/>
      <c r="D29" s="1086"/>
      <c r="E29" s="1086"/>
      <c r="F29" s="1086"/>
      <c r="G29" s="1086"/>
      <c r="H29" s="83"/>
      <c r="I29" s="5"/>
    </row>
    <row r="30" spans="2:20" x14ac:dyDescent="0.25">
      <c r="B30" s="1088" t="s">
        <v>294</v>
      </c>
      <c r="C30" s="1088"/>
      <c r="D30" s="1088"/>
      <c r="E30" s="1088"/>
      <c r="F30" s="1088"/>
      <c r="G30" s="1088"/>
      <c r="H30" s="1088"/>
      <c r="I30" s="1088"/>
      <c r="J30" s="1088"/>
      <c r="K30" s="1088"/>
    </row>
    <row r="31" spans="2:20" ht="41.25" customHeight="1" x14ac:dyDescent="0.25">
      <c r="B31" s="1087" t="s">
        <v>297</v>
      </c>
      <c r="C31" s="1087"/>
      <c r="D31" s="1087"/>
      <c r="E31" s="1087"/>
      <c r="F31" s="1087"/>
      <c r="G31" s="1087"/>
      <c r="H31" s="1087"/>
      <c r="I31" s="1087"/>
      <c r="J31" s="1087"/>
      <c r="K31" s="1087"/>
    </row>
    <row r="32" spans="2:20" ht="15" customHeight="1" x14ac:dyDescent="0.25">
      <c r="B32" s="1089" t="s">
        <v>377</v>
      </c>
      <c r="C32" s="1047"/>
      <c r="D32" s="1047"/>
      <c r="E32" s="1047"/>
      <c r="F32" s="1047"/>
      <c r="G32" s="1047"/>
      <c r="H32" s="1047"/>
      <c r="I32" s="1047"/>
      <c r="J32" s="1047"/>
      <c r="K32" s="1047"/>
      <c r="L32" s="496"/>
      <c r="M32" s="496"/>
      <c r="N32" s="496"/>
      <c r="O32" s="496"/>
      <c r="P32" s="496"/>
      <c r="Q32" s="496"/>
      <c r="R32" s="496"/>
      <c r="S32" s="496"/>
      <c r="T32" s="496"/>
    </row>
    <row r="33" spans="2:20" ht="23.25" customHeight="1" x14ac:dyDescent="0.25">
      <c r="B33" s="1047" t="s">
        <v>298</v>
      </c>
      <c r="C33" s="1047"/>
      <c r="D33" s="1047"/>
      <c r="E33" s="1047"/>
      <c r="F33" s="1047"/>
      <c r="G33" s="1047"/>
      <c r="H33" s="1047"/>
      <c r="I33" s="1047"/>
      <c r="J33" s="1047"/>
      <c r="K33" s="1047"/>
      <c r="L33" s="496"/>
      <c r="M33" s="496"/>
      <c r="N33" s="496"/>
      <c r="O33" s="496"/>
      <c r="P33" s="496"/>
      <c r="Q33" s="496"/>
      <c r="R33" s="496"/>
      <c r="S33" s="496"/>
      <c r="T33" s="496"/>
    </row>
    <row r="34" spans="2:20" ht="24.75" customHeight="1" x14ac:dyDescent="0.25">
      <c r="B34" s="1087"/>
      <c r="C34" s="1087"/>
      <c r="D34" s="1087"/>
      <c r="E34" s="1087"/>
      <c r="F34" s="1087"/>
      <c r="G34" s="1087"/>
      <c r="H34" s="1087"/>
      <c r="I34" s="1087"/>
      <c r="J34" s="1087"/>
      <c r="K34" s="1087"/>
    </row>
    <row r="35" spans="2:20" x14ac:dyDescent="0.25">
      <c r="F35" s="1085"/>
      <c r="G35" s="1085"/>
      <c r="H35" s="1085"/>
      <c r="I35" s="1085"/>
      <c r="J35" s="1085"/>
      <c r="K35" s="1085"/>
    </row>
  </sheetData>
  <mergeCells count="18">
    <mergeCell ref="B1:K1"/>
    <mergeCell ref="B4:B7"/>
    <mergeCell ref="E4:E6"/>
    <mergeCell ref="G4:G6"/>
    <mergeCell ref="H4:H6"/>
    <mergeCell ref="I4:I6"/>
    <mergeCell ref="J4:J6"/>
    <mergeCell ref="K4:K6"/>
    <mergeCell ref="F4:F6"/>
    <mergeCell ref="D4:D6"/>
    <mergeCell ref="C4:C6"/>
    <mergeCell ref="F35:K35"/>
    <mergeCell ref="B29:G29"/>
    <mergeCell ref="B34:K34"/>
    <mergeCell ref="B30:K30"/>
    <mergeCell ref="B31:K31"/>
    <mergeCell ref="B32:K32"/>
    <mergeCell ref="B33:K33"/>
  </mergeCells>
  <pageMargins left="0.70866141732283472" right="0.36" top="0.74803149606299213" bottom="0.74803149606299213" header="0.31496062992125984" footer="0.31496062992125984"/>
  <pageSetup scale="92" orientation="landscape" r:id="rId1"/>
  <ignoredErrors>
    <ignoredError sqref="C7:G7 J7"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tabColor rgb="FFFFFF00"/>
  </sheetPr>
  <dimension ref="A1:Z118"/>
  <sheetViews>
    <sheetView topLeftCell="A85" workbookViewId="0">
      <selection activeCell="H119" sqref="H119"/>
    </sheetView>
  </sheetViews>
  <sheetFormatPr baseColWidth="10" defaultRowHeight="12.75" x14ac:dyDescent="0.2"/>
  <cols>
    <col min="1" max="1" width="16.42578125" style="597" bestFit="1" customWidth="1"/>
    <col min="2" max="2" width="13.7109375" style="597" bestFit="1" customWidth="1"/>
    <col min="3" max="3" width="15.28515625" style="597" bestFit="1" customWidth="1"/>
    <col min="4" max="4" width="13.7109375" style="597" bestFit="1" customWidth="1"/>
    <col min="5" max="5" width="15.28515625" style="597" bestFit="1" customWidth="1"/>
    <col min="6" max="12" width="13.7109375" style="597" bestFit="1" customWidth="1"/>
    <col min="13" max="13" width="13.7109375" style="597" customWidth="1"/>
    <col min="14" max="15" width="13.7109375" style="597" bestFit="1" customWidth="1"/>
    <col min="16" max="16" width="16.42578125" style="597" bestFit="1" customWidth="1"/>
    <col min="17" max="256" width="11.42578125" style="597"/>
    <col min="257" max="257" width="15.28515625" style="597" bestFit="1" customWidth="1"/>
    <col min="258" max="258" width="13.7109375" style="597" bestFit="1" customWidth="1"/>
    <col min="259" max="259" width="18.42578125" style="597" bestFit="1" customWidth="1"/>
    <col min="260" max="270" width="13.7109375" style="597" bestFit="1" customWidth="1"/>
    <col min="271" max="512" width="11.42578125" style="597"/>
    <col min="513" max="513" width="15.28515625" style="597" bestFit="1" customWidth="1"/>
    <col min="514" max="514" width="13.7109375" style="597" bestFit="1" customWidth="1"/>
    <col min="515" max="515" width="18.42578125" style="597" bestFit="1" customWidth="1"/>
    <col min="516" max="526" width="13.7109375" style="597" bestFit="1" customWidth="1"/>
    <col min="527" max="768" width="11.42578125" style="597"/>
    <col min="769" max="769" width="15.28515625" style="597" bestFit="1" customWidth="1"/>
    <col min="770" max="770" width="13.7109375" style="597" bestFit="1" customWidth="1"/>
    <col min="771" max="771" width="18.42578125" style="597" bestFit="1" customWidth="1"/>
    <col min="772" max="782" width="13.7109375" style="597" bestFit="1" customWidth="1"/>
    <col min="783" max="1024" width="11.42578125" style="597"/>
    <col min="1025" max="1025" width="15.28515625" style="597" bestFit="1" customWidth="1"/>
    <col min="1026" max="1026" width="13.7109375" style="597" bestFit="1" customWidth="1"/>
    <col min="1027" max="1027" width="18.42578125" style="597" bestFit="1" customWidth="1"/>
    <col min="1028" max="1038" width="13.7109375" style="597" bestFit="1" customWidth="1"/>
    <col min="1039" max="1280" width="11.42578125" style="597"/>
    <col min="1281" max="1281" width="15.28515625" style="597" bestFit="1" customWidth="1"/>
    <col min="1282" max="1282" width="13.7109375" style="597" bestFit="1" customWidth="1"/>
    <col min="1283" max="1283" width="18.42578125" style="597" bestFit="1" customWidth="1"/>
    <col min="1284" max="1294" width="13.7109375" style="597" bestFit="1" customWidth="1"/>
    <col min="1295" max="1536" width="11.42578125" style="597"/>
    <col min="1537" max="1537" width="15.28515625" style="597" bestFit="1" customWidth="1"/>
    <col min="1538" max="1538" width="13.7109375" style="597" bestFit="1" customWidth="1"/>
    <col min="1539" max="1539" width="18.42578125" style="597" bestFit="1" customWidth="1"/>
    <col min="1540" max="1550" width="13.7109375" style="597" bestFit="1" customWidth="1"/>
    <col min="1551" max="1792" width="11.42578125" style="597"/>
    <col min="1793" max="1793" width="15.28515625" style="597" bestFit="1" customWidth="1"/>
    <col min="1794" max="1794" width="13.7109375" style="597" bestFit="1" customWidth="1"/>
    <col min="1795" max="1795" width="18.42578125" style="597" bestFit="1" customWidth="1"/>
    <col min="1796" max="1806" width="13.7109375" style="597" bestFit="1" customWidth="1"/>
    <col min="1807" max="2048" width="11.42578125" style="597"/>
    <col min="2049" max="2049" width="15.28515625" style="597" bestFit="1" customWidth="1"/>
    <col min="2050" max="2050" width="13.7109375" style="597" bestFit="1" customWidth="1"/>
    <col min="2051" max="2051" width="18.42578125" style="597" bestFit="1" customWidth="1"/>
    <col min="2052" max="2062" width="13.7109375" style="597" bestFit="1" customWidth="1"/>
    <col min="2063" max="2304" width="11.42578125" style="597"/>
    <col min="2305" max="2305" width="15.28515625" style="597" bestFit="1" customWidth="1"/>
    <col min="2306" max="2306" width="13.7109375" style="597" bestFit="1" customWidth="1"/>
    <col min="2307" max="2307" width="18.42578125" style="597" bestFit="1" customWidth="1"/>
    <col min="2308" max="2318" width="13.7109375" style="597" bestFit="1" customWidth="1"/>
    <col min="2319" max="2560" width="11.42578125" style="597"/>
    <col min="2561" max="2561" width="15.28515625" style="597" bestFit="1" customWidth="1"/>
    <col min="2562" max="2562" width="13.7109375" style="597" bestFit="1" customWidth="1"/>
    <col min="2563" max="2563" width="18.42578125" style="597" bestFit="1" customWidth="1"/>
    <col min="2564" max="2574" width="13.7109375" style="597" bestFit="1" customWidth="1"/>
    <col min="2575" max="2816" width="11.42578125" style="597"/>
    <col min="2817" max="2817" width="15.28515625" style="597" bestFit="1" customWidth="1"/>
    <col min="2818" max="2818" width="13.7109375" style="597" bestFit="1" customWidth="1"/>
    <col min="2819" max="2819" width="18.42578125" style="597" bestFit="1" customWidth="1"/>
    <col min="2820" max="2830" width="13.7109375" style="597" bestFit="1" customWidth="1"/>
    <col min="2831" max="3072" width="11.42578125" style="597"/>
    <col min="3073" max="3073" width="15.28515625" style="597" bestFit="1" customWidth="1"/>
    <col min="3074" max="3074" width="13.7109375" style="597" bestFit="1" customWidth="1"/>
    <col min="3075" max="3075" width="18.42578125" style="597" bestFit="1" customWidth="1"/>
    <col min="3076" max="3086" width="13.7109375" style="597" bestFit="1" customWidth="1"/>
    <col min="3087" max="3328" width="11.42578125" style="597"/>
    <col min="3329" max="3329" width="15.28515625" style="597" bestFit="1" customWidth="1"/>
    <col min="3330" max="3330" width="13.7109375" style="597" bestFit="1" customWidth="1"/>
    <col min="3331" max="3331" width="18.42578125" style="597" bestFit="1" customWidth="1"/>
    <col min="3332" max="3342" width="13.7109375" style="597" bestFit="1" customWidth="1"/>
    <col min="3343" max="3584" width="11.42578125" style="597"/>
    <col min="3585" max="3585" width="15.28515625" style="597" bestFit="1" customWidth="1"/>
    <col min="3586" max="3586" width="13.7109375" style="597" bestFit="1" customWidth="1"/>
    <col min="3587" max="3587" width="18.42578125" style="597" bestFit="1" customWidth="1"/>
    <col min="3588" max="3598" width="13.7109375" style="597" bestFit="1" customWidth="1"/>
    <col min="3599" max="3840" width="11.42578125" style="597"/>
    <col min="3841" max="3841" width="15.28515625" style="597" bestFit="1" customWidth="1"/>
    <col min="3842" max="3842" width="13.7109375" style="597" bestFit="1" customWidth="1"/>
    <col min="3843" max="3843" width="18.42578125" style="597" bestFit="1" customWidth="1"/>
    <col min="3844" max="3854" width="13.7109375" style="597" bestFit="1" customWidth="1"/>
    <col min="3855" max="4096" width="11.42578125" style="597"/>
    <col min="4097" max="4097" width="15.28515625" style="597" bestFit="1" customWidth="1"/>
    <col min="4098" max="4098" width="13.7109375" style="597" bestFit="1" customWidth="1"/>
    <col min="4099" max="4099" width="18.42578125" style="597" bestFit="1" customWidth="1"/>
    <col min="4100" max="4110" width="13.7109375" style="597" bestFit="1" customWidth="1"/>
    <col min="4111" max="4352" width="11.42578125" style="597"/>
    <col min="4353" max="4353" width="15.28515625" style="597" bestFit="1" customWidth="1"/>
    <col min="4354" max="4354" width="13.7109375" style="597" bestFit="1" customWidth="1"/>
    <col min="4355" max="4355" width="18.42578125" style="597" bestFit="1" customWidth="1"/>
    <col min="4356" max="4366" width="13.7109375" style="597" bestFit="1" customWidth="1"/>
    <col min="4367" max="4608" width="11.42578125" style="597"/>
    <col min="4609" max="4609" width="15.28515625" style="597" bestFit="1" customWidth="1"/>
    <col min="4610" max="4610" width="13.7109375" style="597" bestFit="1" customWidth="1"/>
    <col min="4611" max="4611" width="18.42578125" style="597" bestFit="1" customWidth="1"/>
    <col min="4612" max="4622" width="13.7109375" style="597" bestFit="1" customWidth="1"/>
    <col min="4623" max="4864" width="11.42578125" style="597"/>
    <col min="4865" max="4865" width="15.28515625" style="597" bestFit="1" customWidth="1"/>
    <col min="4866" max="4866" width="13.7109375" style="597" bestFit="1" customWidth="1"/>
    <col min="4867" max="4867" width="18.42578125" style="597" bestFit="1" customWidth="1"/>
    <col min="4868" max="4878" width="13.7109375" style="597" bestFit="1" customWidth="1"/>
    <col min="4879" max="5120" width="11.42578125" style="597"/>
    <col min="5121" max="5121" width="15.28515625" style="597" bestFit="1" customWidth="1"/>
    <col min="5122" max="5122" width="13.7109375" style="597" bestFit="1" customWidth="1"/>
    <col min="5123" max="5123" width="18.42578125" style="597" bestFit="1" customWidth="1"/>
    <col min="5124" max="5134" width="13.7109375" style="597" bestFit="1" customWidth="1"/>
    <col min="5135" max="5376" width="11.42578125" style="597"/>
    <col min="5377" max="5377" width="15.28515625" style="597" bestFit="1" customWidth="1"/>
    <col min="5378" max="5378" width="13.7109375" style="597" bestFit="1" customWidth="1"/>
    <col min="5379" max="5379" width="18.42578125" style="597" bestFit="1" customWidth="1"/>
    <col min="5380" max="5390" width="13.7109375" style="597" bestFit="1" customWidth="1"/>
    <col min="5391" max="5632" width="11.42578125" style="597"/>
    <col min="5633" max="5633" width="15.28515625" style="597" bestFit="1" customWidth="1"/>
    <col min="5634" max="5634" width="13.7109375" style="597" bestFit="1" customWidth="1"/>
    <col min="5635" max="5635" width="18.42578125" style="597" bestFit="1" customWidth="1"/>
    <col min="5636" max="5646" width="13.7109375" style="597" bestFit="1" customWidth="1"/>
    <col min="5647" max="5888" width="11.42578125" style="597"/>
    <col min="5889" max="5889" width="15.28515625" style="597" bestFit="1" customWidth="1"/>
    <col min="5890" max="5890" width="13.7109375" style="597" bestFit="1" customWidth="1"/>
    <col min="5891" max="5891" width="18.42578125" style="597" bestFit="1" customWidth="1"/>
    <col min="5892" max="5902" width="13.7109375" style="597" bestFit="1" customWidth="1"/>
    <col min="5903" max="6144" width="11.42578125" style="597"/>
    <col min="6145" max="6145" width="15.28515625" style="597" bestFit="1" customWidth="1"/>
    <col min="6146" max="6146" width="13.7109375" style="597" bestFit="1" customWidth="1"/>
    <col min="6147" max="6147" width="18.42578125" style="597" bestFit="1" customWidth="1"/>
    <col min="6148" max="6158" width="13.7109375" style="597" bestFit="1" customWidth="1"/>
    <col min="6159" max="6400" width="11.42578125" style="597"/>
    <col min="6401" max="6401" width="15.28515625" style="597" bestFit="1" customWidth="1"/>
    <col min="6402" max="6402" width="13.7109375" style="597" bestFit="1" customWidth="1"/>
    <col min="6403" max="6403" width="18.42578125" style="597" bestFit="1" customWidth="1"/>
    <col min="6404" max="6414" width="13.7109375" style="597" bestFit="1" customWidth="1"/>
    <col min="6415" max="6656" width="11.42578125" style="597"/>
    <col min="6657" max="6657" width="15.28515625" style="597" bestFit="1" customWidth="1"/>
    <col min="6658" max="6658" width="13.7109375" style="597" bestFit="1" customWidth="1"/>
    <col min="6659" max="6659" width="18.42578125" style="597" bestFit="1" customWidth="1"/>
    <col min="6660" max="6670" width="13.7109375" style="597" bestFit="1" customWidth="1"/>
    <col min="6671" max="6912" width="11.42578125" style="597"/>
    <col min="6913" max="6913" width="15.28515625" style="597" bestFit="1" customWidth="1"/>
    <col min="6914" max="6914" width="13.7109375" style="597" bestFit="1" customWidth="1"/>
    <col min="6915" max="6915" width="18.42578125" style="597" bestFit="1" customWidth="1"/>
    <col min="6916" max="6926" width="13.7109375" style="597" bestFit="1" customWidth="1"/>
    <col min="6927" max="7168" width="11.42578125" style="597"/>
    <col min="7169" max="7169" width="15.28515625" style="597" bestFit="1" customWidth="1"/>
    <col min="7170" max="7170" width="13.7109375" style="597" bestFit="1" customWidth="1"/>
    <col min="7171" max="7171" width="18.42578125" style="597" bestFit="1" customWidth="1"/>
    <col min="7172" max="7182" width="13.7109375" style="597" bestFit="1" customWidth="1"/>
    <col min="7183" max="7424" width="11.42578125" style="597"/>
    <col min="7425" max="7425" width="15.28515625" style="597" bestFit="1" customWidth="1"/>
    <col min="7426" max="7426" width="13.7109375" style="597" bestFit="1" customWidth="1"/>
    <col min="7427" max="7427" width="18.42578125" style="597" bestFit="1" customWidth="1"/>
    <col min="7428" max="7438" width="13.7109375" style="597" bestFit="1" customWidth="1"/>
    <col min="7439" max="7680" width="11.42578125" style="597"/>
    <col min="7681" max="7681" width="15.28515625" style="597" bestFit="1" customWidth="1"/>
    <col min="7682" max="7682" width="13.7109375" style="597" bestFit="1" customWidth="1"/>
    <col min="7683" max="7683" width="18.42578125" style="597" bestFit="1" customWidth="1"/>
    <col min="7684" max="7694" width="13.7109375" style="597" bestFit="1" customWidth="1"/>
    <col min="7695" max="7936" width="11.42578125" style="597"/>
    <col min="7937" max="7937" width="15.28515625" style="597" bestFit="1" customWidth="1"/>
    <col min="7938" max="7938" width="13.7109375" style="597" bestFit="1" customWidth="1"/>
    <col min="7939" max="7939" width="18.42578125" style="597" bestFit="1" customWidth="1"/>
    <col min="7940" max="7950" width="13.7109375" style="597" bestFit="1" customWidth="1"/>
    <col min="7951" max="8192" width="11.42578125" style="597"/>
    <col min="8193" max="8193" width="15.28515625" style="597" bestFit="1" customWidth="1"/>
    <col min="8194" max="8194" width="13.7109375" style="597" bestFit="1" customWidth="1"/>
    <col min="8195" max="8195" width="18.42578125" style="597" bestFit="1" customWidth="1"/>
    <col min="8196" max="8206" width="13.7109375" style="597" bestFit="1" customWidth="1"/>
    <col min="8207" max="8448" width="11.42578125" style="597"/>
    <col min="8449" max="8449" width="15.28515625" style="597" bestFit="1" customWidth="1"/>
    <col min="8450" max="8450" width="13.7109375" style="597" bestFit="1" customWidth="1"/>
    <col min="8451" max="8451" width="18.42578125" style="597" bestFit="1" customWidth="1"/>
    <col min="8452" max="8462" width="13.7109375" style="597" bestFit="1" customWidth="1"/>
    <col min="8463" max="8704" width="11.42578125" style="597"/>
    <col min="8705" max="8705" width="15.28515625" style="597" bestFit="1" customWidth="1"/>
    <col min="8706" max="8706" width="13.7109375" style="597" bestFit="1" customWidth="1"/>
    <col min="8707" max="8707" width="18.42578125" style="597" bestFit="1" customWidth="1"/>
    <col min="8708" max="8718" width="13.7109375" style="597" bestFit="1" customWidth="1"/>
    <col min="8719" max="8960" width="11.42578125" style="597"/>
    <col min="8961" max="8961" width="15.28515625" style="597" bestFit="1" customWidth="1"/>
    <col min="8962" max="8962" width="13.7109375" style="597" bestFit="1" customWidth="1"/>
    <col min="8963" max="8963" width="18.42578125" style="597" bestFit="1" customWidth="1"/>
    <col min="8964" max="8974" width="13.7109375" style="597" bestFit="1" customWidth="1"/>
    <col min="8975" max="9216" width="11.42578125" style="597"/>
    <col min="9217" max="9217" width="15.28515625" style="597" bestFit="1" customWidth="1"/>
    <col min="9218" max="9218" width="13.7109375" style="597" bestFit="1" customWidth="1"/>
    <col min="9219" max="9219" width="18.42578125" style="597" bestFit="1" customWidth="1"/>
    <col min="9220" max="9230" width="13.7109375" style="597" bestFit="1" customWidth="1"/>
    <col min="9231" max="9472" width="11.42578125" style="597"/>
    <col min="9473" max="9473" width="15.28515625" style="597" bestFit="1" customWidth="1"/>
    <col min="9474" max="9474" width="13.7109375" style="597" bestFit="1" customWidth="1"/>
    <col min="9475" max="9475" width="18.42578125" style="597" bestFit="1" customWidth="1"/>
    <col min="9476" max="9486" width="13.7109375" style="597" bestFit="1" customWidth="1"/>
    <col min="9487" max="9728" width="11.42578125" style="597"/>
    <col min="9729" max="9729" width="15.28515625" style="597" bestFit="1" customWidth="1"/>
    <col min="9730" max="9730" width="13.7109375" style="597" bestFit="1" customWidth="1"/>
    <col min="9731" max="9731" width="18.42578125" style="597" bestFit="1" customWidth="1"/>
    <col min="9732" max="9742" width="13.7109375" style="597" bestFit="1" customWidth="1"/>
    <col min="9743" max="9984" width="11.42578125" style="597"/>
    <col min="9985" max="9985" width="15.28515625" style="597" bestFit="1" customWidth="1"/>
    <col min="9986" max="9986" width="13.7109375" style="597" bestFit="1" customWidth="1"/>
    <col min="9987" max="9987" width="18.42578125" style="597" bestFit="1" customWidth="1"/>
    <col min="9988" max="9998" width="13.7109375" style="597" bestFit="1" customWidth="1"/>
    <col min="9999" max="10240" width="11.42578125" style="597"/>
    <col min="10241" max="10241" width="15.28515625" style="597" bestFit="1" customWidth="1"/>
    <col min="10242" max="10242" width="13.7109375" style="597" bestFit="1" customWidth="1"/>
    <col min="10243" max="10243" width="18.42578125" style="597" bestFit="1" customWidth="1"/>
    <col min="10244" max="10254" width="13.7109375" style="597" bestFit="1" customWidth="1"/>
    <col min="10255" max="10496" width="11.42578125" style="597"/>
    <col min="10497" max="10497" width="15.28515625" style="597" bestFit="1" customWidth="1"/>
    <col min="10498" max="10498" width="13.7109375" style="597" bestFit="1" customWidth="1"/>
    <col min="10499" max="10499" width="18.42578125" style="597" bestFit="1" customWidth="1"/>
    <col min="10500" max="10510" width="13.7109375" style="597" bestFit="1" customWidth="1"/>
    <col min="10511" max="10752" width="11.42578125" style="597"/>
    <col min="10753" max="10753" width="15.28515625" style="597" bestFit="1" customWidth="1"/>
    <col min="10754" max="10754" width="13.7109375" style="597" bestFit="1" customWidth="1"/>
    <col min="10755" max="10755" width="18.42578125" style="597" bestFit="1" customWidth="1"/>
    <col min="10756" max="10766" width="13.7109375" style="597" bestFit="1" customWidth="1"/>
    <col min="10767" max="11008" width="11.42578125" style="597"/>
    <col min="11009" max="11009" width="15.28515625" style="597" bestFit="1" customWidth="1"/>
    <col min="11010" max="11010" width="13.7109375" style="597" bestFit="1" customWidth="1"/>
    <col min="11011" max="11011" width="18.42578125" style="597" bestFit="1" customWidth="1"/>
    <col min="11012" max="11022" width="13.7109375" style="597" bestFit="1" customWidth="1"/>
    <col min="11023" max="11264" width="11.42578125" style="597"/>
    <col min="11265" max="11265" width="15.28515625" style="597" bestFit="1" customWidth="1"/>
    <col min="11266" max="11266" width="13.7109375" style="597" bestFit="1" customWidth="1"/>
    <col min="11267" max="11267" width="18.42578125" style="597" bestFit="1" customWidth="1"/>
    <col min="11268" max="11278" width="13.7109375" style="597" bestFit="1" customWidth="1"/>
    <col min="11279" max="11520" width="11.42578125" style="597"/>
    <col min="11521" max="11521" width="15.28515625" style="597" bestFit="1" customWidth="1"/>
    <col min="11522" max="11522" width="13.7109375" style="597" bestFit="1" customWidth="1"/>
    <col min="11523" max="11523" width="18.42578125" style="597" bestFit="1" customWidth="1"/>
    <col min="11524" max="11534" width="13.7109375" style="597" bestFit="1" customWidth="1"/>
    <col min="11535" max="11776" width="11.42578125" style="597"/>
    <col min="11777" max="11777" width="15.28515625" style="597" bestFit="1" customWidth="1"/>
    <col min="11778" max="11778" width="13.7109375" style="597" bestFit="1" customWidth="1"/>
    <col min="11779" max="11779" width="18.42578125" style="597" bestFit="1" customWidth="1"/>
    <col min="11780" max="11790" width="13.7109375" style="597" bestFit="1" customWidth="1"/>
    <col min="11791" max="12032" width="11.42578125" style="597"/>
    <col min="12033" max="12033" width="15.28515625" style="597" bestFit="1" customWidth="1"/>
    <col min="12034" max="12034" width="13.7109375" style="597" bestFit="1" customWidth="1"/>
    <col min="12035" max="12035" width="18.42578125" style="597" bestFit="1" customWidth="1"/>
    <col min="12036" max="12046" width="13.7109375" style="597" bestFit="1" customWidth="1"/>
    <col min="12047" max="12288" width="11.42578125" style="597"/>
    <col min="12289" max="12289" width="15.28515625" style="597" bestFit="1" customWidth="1"/>
    <col min="12290" max="12290" width="13.7109375" style="597" bestFit="1" customWidth="1"/>
    <col min="12291" max="12291" width="18.42578125" style="597" bestFit="1" customWidth="1"/>
    <col min="12292" max="12302" width="13.7109375" style="597" bestFit="1" customWidth="1"/>
    <col min="12303" max="12544" width="11.42578125" style="597"/>
    <col min="12545" max="12545" width="15.28515625" style="597" bestFit="1" customWidth="1"/>
    <col min="12546" max="12546" width="13.7109375" style="597" bestFit="1" customWidth="1"/>
    <col min="12547" max="12547" width="18.42578125" style="597" bestFit="1" customWidth="1"/>
    <col min="12548" max="12558" width="13.7109375" style="597" bestFit="1" customWidth="1"/>
    <col min="12559" max="12800" width="11.42578125" style="597"/>
    <col min="12801" max="12801" width="15.28515625" style="597" bestFit="1" customWidth="1"/>
    <col min="12802" max="12802" width="13.7109375" style="597" bestFit="1" customWidth="1"/>
    <col min="12803" max="12803" width="18.42578125" style="597" bestFit="1" customWidth="1"/>
    <col min="12804" max="12814" width="13.7109375" style="597" bestFit="1" customWidth="1"/>
    <col min="12815" max="13056" width="11.42578125" style="597"/>
    <col min="13057" max="13057" width="15.28515625" style="597" bestFit="1" customWidth="1"/>
    <col min="13058" max="13058" width="13.7109375" style="597" bestFit="1" customWidth="1"/>
    <col min="13059" max="13059" width="18.42578125" style="597" bestFit="1" customWidth="1"/>
    <col min="13060" max="13070" width="13.7109375" style="597" bestFit="1" customWidth="1"/>
    <col min="13071" max="13312" width="11.42578125" style="597"/>
    <col min="13313" max="13313" width="15.28515625" style="597" bestFit="1" customWidth="1"/>
    <col min="13314" max="13314" width="13.7109375" style="597" bestFit="1" customWidth="1"/>
    <col min="13315" max="13315" width="18.42578125" style="597" bestFit="1" customWidth="1"/>
    <col min="13316" max="13326" width="13.7109375" style="597" bestFit="1" customWidth="1"/>
    <col min="13327" max="13568" width="11.42578125" style="597"/>
    <col min="13569" max="13569" width="15.28515625" style="597" bestFit="1" customWidth="1"/>
    <col min="13570" max="13570" width="13.7109375" style="597" bestFit="1" customWidth="1"/>
    <col min="13571" max="13571" width="18.42578125" style="597" bestFit="1" customWidth="1"/>
    <col min="13572" max="13582" width="13.7109375" style="597" bestFit="1" customWidth="1"/>
    <col min="13583" max="13824" width="11.42578125" style="597"/>
    <col min="13825" max="13825" width="15.28515625" style="597" bestFit="1" customWidth="1"/>
    <col min="13826" max="13826" width="13.7109375" style="597" bestFit="1" customWidth="1"/>
    <col min="13827" max="13827" width="18.42578125" style="597" bestFit="1" customWidth="1"/>
    <col min="13828" max="13838" width="13.7109375" style="597" bestFit="1" customWidth="1"/>
    <col min="13839" max="14080" width="11.42578125" style="597"/>
    <col min="14081" max="14081" width="15.28515625" style="597" bestFit="1" customWidth="1"/>
    <col min="14082" max="14082" width="13.7109375" style="597" bestFit="1" customWidth="1"/>
    <col min="14083" max="14083" width="18.42578125" style="597" bestFit="1" customWidth="1"/>
    <col min="14084" max="14094" width="13.7109375" style="597" bestFit="1" customWidth="1"/>
    <col min="14095" max="14336" width="11.42578125" style="597"/>
    <col min="14337" max="14337" width="15.28515625" style="597" bestFit="1" customWidth="1"/>
    <col min="14338" max="14338" width="13.7109375" style="597" bestFit="1" customWidth="1"/>
    <col min="14339" max="14339" width="18.42578125" style="597" bestFit="1" customWidth="1"/>
    <col min="14340" max="14350" width="13.7109375" style="597" bestFit="1" customWidth="1"/>
    <col min="14351" max="14592" width="11.42578125" style="597"/>
    <col min="14593" max="14593" width="15.28515625" style="597" bestFit="1" customWidth="1"/>
    <col min="14594" max="14594" width="13.7109375" style="597" bestFit="1" customWidth="1"/>
    <col min="14595" max="14595" width="18.42578125" style="597" bestFit="1" customWidth="1"/>
    <col min="14596" max="14606" width="13.7109375" style="597" bestFit="1" customWidth="1"/>
    <col min="14607" max="14848" width="11.42578125" style="597"/>
    <col min="14849" max="14849" width="15.28515625" style="597" bestFit="1" customWidth="1"/>
    <col min="14850" max="14850" width="13.7109375" style="597" bestFit="1" customWidth="1"/>
    <col min="14851" max="14851" width="18.42578125" style="597" bestFit="1" customWidth="1"/>
    <col min="14852" max="14862" width="13.7109375" style="597" bestFit="1" customWidth="1"/>
    <col min="14863" max="15104" width="11.42578125" style="597"/>
    <col min="15105" max="15105" width="15.28515625" style="597" bestFit="1" customWidth="1"/>
    <col min="15106" max="15106" width="13.7109375" style="597" bestFit="1" customWidth="1"/>
    <col min="15107" max="15107" width="18.42578125" style="597" bestFit="1" customWidth="1"/>
    <col min="15108" max="15118" width="13.7109375" style="597" bestFit="1" customWidth="1"/>
    <col min="15119" max="15360" width="11.42578125" style="597"/>
    <col min="15361" max="15361" width="15.28515625" style="597" bestFit="1" customWidth="1"/>
    <col min="15362" max="15362" width="13.7109375" style="597" bestFit="1" customWidth="1"/>
    <col min="15363" max="15363" width="18.42578125" style="597" bestFit="1" customWidth="1"/>
    <col min="15364" max="15374" width="13.7109375" style="597" bestFit="1" customWidth="1"/>
    <col min="15375" max="15616" width="11.42578125" style="597"/>
    <col min="15617" max="15617" width="15.28515625" style="597" bestFit="1" customWidth="1"/>
    <col min="15618" max="15618" width="13.7109375" style="597" bestFit="1" customWidth="1"/>
    <col min="15619" max="15619" width="18.42578125" style="597" bestFit="1" customWidth="1"/>
    <col min="15620" max="15630" width="13.7109375" style="597" bestFit="1" customWidth="1"/>
    <col min="15631" max="15872" width="11.42578125" style="597"/>
    <col min="15873" max="15873" width="15.28515625" style="597" bestFit="1" customWidth="1"/>
    <col min="15874" max="15874" width="13.7109375" style="597" bestFit="1" customWidth="1"/>
    <col min="15875" max="15875" width="18.42578125" style="597" bestFit="1" customWidth="1"/>
    <col min="15876" max="15886" width="13.7109375" style="597" bestFit="1" customWidth="1"/>
    <col min="15887" max="16128" width="11.42578125" style="597"/>
    <col min="16129" max="16129" width="15.28515625" style="597" bestFit="1" customWidth="1"/>
    <col min="16130" max="16130" width="13.7109375" style="597" bestFit="1" customWidth="1"/>
    <col min="16131" max="16131" width="18.42578125" style="597" bestFit="1" customWidth="1"/>
    <col min="16132" max="16142" width="13.7109375" style="597" bestFit="1" customWidth="1"/>
    <col min="16143" max="16384" width="11.42578125" style="597"/>
  </cols>
  <sheetData>
    <row r="1" spans="1:15" ht="15.75" x14ac:dyDescent="0.25">
      <c r="A1" s="1253" t="s">
        <v>277</v>
      </c>
      <c r="B1" s="1253"/>
      <c r="C1" s="1253"/>
      <c r="D1" s="1253"/>
      <c r="E1" s="1253"/>
      <c r="F1" s="1253"/>
      <c r="G1" s="1253"/>
      <c r="H1" s="1253"/>
      <c r="I1" s="1253"/>
      <c r="J1" s="1253"/>
      <c r="K1" s="1253"/>
      <c r="L1" s="1253"/>
      <c r="M1" s="1253"/>
    </row>
    <row r="2" spans="1:15" x14ac:dyDescent="0.2">
      <c r="A2" s="1254" t="s">
        <v>278</v>
      </c>
      <c r="B2" s="1254"/>
      <c r="C2" s="1254"/>
      <c r="D2" s="1254"/>
      <c r="E2" s="1254"/>
      <c r="F2" s="1254"/>
      <c r="G2" s="1254"/>
      <c r="H2" s="1254"/>
      <c r="I2" s="1254"/>
      <c r="J2" s="1254"/>
      <c r="K2" s="1254"/>
      <c r="L2" s="1254"/>
      <c r="M2" s="1254"/>
      <c r="N2" s="687"/>
      <c r="O2" s="687"/>
    </row>
    <row r="3" spans="1:15" x14ac:dyDescent="0.2">
      <c r="A3" s="1254" t="s">
        <v>279</v>
      </c>
      <c r="B3" s="1254"/>
      <c r="C3" s="1254"/>
      <c r="D3" s="1254"/>
      <c r="E3" s="1254"/>
      <c r="F3" s="1254"/>
      <c r="G3" s="1254"/>
      <c r="H3" s="1254"/>
      <c r="I3" s="1254"/>
      <c r="J3" s="1254"/>
      <c r="K3" s="1254"/>
      <c r="L3" s="1254"/>
      <c r="M3" s="1254"/>
      <c r="N3" s="687"/>
      <c r="O3" s="687"/>
    </row>
    <row r="4" spans="1:15" x14ac:dyDescent="0.2">
      <c r="A4" s="1272" t="s">
        <v>385</v>
      </c>
      <c r="B4" s="1272"/>
      <c r="C4" s="1272"/>
      <c r="D4" s="1272"/>
      <c r="E4" s="1272"/>
      <c r="F4" s="1272"/>
      <c r="G4" s="1272"/>
      <c r="H4" s="1272"/>
      <c r="I4" s="1272"/>
      <c r="J4" s="1272"/>
      <c r="K4" s="1272"/>
      <c r="L4" s="1272"/>
      <c r="M4" s="1272"/>
      <c r="N4" s="859"/>
    </row>
    <row r="5" spans="1:15" x14ac:dyDescent="0.2">
      <c r="A5" s="1283" t="s">
        <v>491</v>
      </c>
      <c r="B5" s="1283"/>
      <c r="C5" s="1283"/>
      <c r="D5" s="1283"/>
      <c r="E5" s="1283"/>
      <c r="F5" s="1283"/>
      <c r="G5" s="1283"/>
      <c r="H5" s="1283"/>
      <c r="I5" s="1283"/>
      <c r="J5" s="1283"/>
      <c r="K5" s="1283"/>
      <c r="L5" s="1283"/>
      <c r="M5" s="1283"/>
      <c r="N5" s="860"/>
    </row>
    <row r="6" spans="1:15" x14ac:dyDescent="0.2">
      <c r="A6" s="688"/>
      <c r="B6" s="856"/>
      <c r="C6" s="856"/>
      <c r="D6" s="856"/>
      <c r="E6" s="856"/>
      <c r="F6" s="856"/>
      <c r="G6" s="856"/>
      <c r="H6" s="856"/>
      <c r="I6" s="856"/>
      <c r="J6" s="856"/>
      <c r="K6" s="856"/>
      <c r="L6" s="856"/>
      <c r="M6" s="856"/>
      <c r="N6" s="859"/>
    </row>
    <row r="7" spans="1:15" x14ac:dyDescent="0.2">
      <c r="A7" s="688">
        <f>SUM(B7:M7)</f>
        <v>99.999999999999986</v>
      </c>
      <c r="B7" s="856">
        <f>B10/$A$10*100</f>
        <v>8.166261013899323</v>
      </c>
      <c r="C7" s="856">
        <f t="shared" ref="C7:M7" si="0">C10/$A$10*100</f>
        <v>11.568572329951966</v>
      </c>
      <c r="D7" s="856">
        <f t="shared" si="0"/>
        <v>7.2154981008562906</v>
      </c>
      <c r="E7" s="856">
        <f t="shared" si="0"/>
        <v>9.2419166332678735</v>
      </c>
      <c r="F7" s="856">
        <f t="shared" si="0"/>
        <v>9.8330208851727097</v>
      </c>
      <c r="G7" s="856">
        <f t="shared" si="0"/>
        <v>9.2943416807774799</v>
      </c>
      <c r="H7" s="856">
        <f t="shared" si="0"/>
        <v>8.0043385741068462</v>
      </c>
      <c r="I7" s="856">
        <f t="shared" si="0"/>
        <v>8.3217292248863224</v>
      </c>
      <c r="J7" s="856">
        <f t="shared" si="0"/>
        <v>7.7260532773968364</v>
      </c>
      <c r="K7" s="856">
        <f t="shared" si="0"/>
        <v>5.4299750223459151</v>
      </c>
      <c r="L7" s="856">
        <f t="shared" si="0"/>
        <v>7.4645860123928554</v>
      </c>
      <c r="M7" s="856">
        <f t="shared" si="0"/>
        <v>7.7337072449455828</v>
      </c>
      <c r="N7" s="859"/>
    </row>
    <row r="8" spans="1:15" ht="13.5" thickBot="1" x14ac:dyDescent="0.25">
      <c r="A8" s="1276"/>
      <c r="B8" s="1276"/>
      <c r="C8" s="1276"/>
      <c r="D8" s="1276"/>
      <c r="E8" s="1276"/>
      <c r="F8" s="1276"/>
      <c r="G8" s="1276"/>
      <c r="H8" s="1276"/>
      <c r="I8" s="1276"/>
      <c r="J8" s="1276"/>
      <c r="K8" s="1276"/>
      <c r="L8" s="1276"/>
      <c r="M8" s="1276"/>
      <c r="N8" s="859"/>
    </row>
    <row r="9" spans="1:15" ht="13.5" thickBot="1" x14ac:dyDescent="0.25">
      <c r="A9" s="690" t="s">
        <v>386</v>
      </c>
      <c r="B9" s="690" t="s">
        <v>1</v>
      </c>
      <c r="C9" s="690" t="s">
        <v>2</v>
      </c>
      <c r="D9" s="690" t="s">
        <v>3</v>
      </c>
      <c r="E9" s="690" t="s">
        <v>4</v>
      </c>
      <c r="F9" s="690" t="s">
        <v>5</v>
      </c>
      <c r="G9" s="690" t="s">
        <v>6</v>
      </c>
      <c r="H9" s="690" t="s">
        <v>7</v>
      </c>
      <c r="I9" s="690" t="s">
        <v>8</v>
      </c>
      <c r="J9" s="690" t="s">
        <v>9</v>
      </c>
      <c r="K9" s="690" t="s">
        <v>10</v>
      </c>
      <c r="L9" s="690" t="s">
        <v>11</v>
      </c>
      <c r="M9" s="690" t="s">
        <v>12</v>
      </c>
      <c r="N9" s="856"/>
    </row>
    <row r="10" spans="1:15" ht="13.5" thickBot="1" x14ac:dyDescent="0.25">
      <c r="A10" s="692">
        <f>B10+C10+D10+E10+F10+G10+H10+I10+J10+K10+L10+M10</f>
        <v>8363570866</v>
      </c>
      <c r="B10" s="861">
        <v>682991027</v>
      </c>
      <c r="C10" s="861">
        <v>967545745</v>
      </c>
      <c r="D10" s="861">
        <v>603473297</v>
      </c>
      <c r="E10" s="861">
        <v>772954247</v>
      </c>
      <c r="F10" s="861">
        <v>822391670</v>
      </c>
      <c r="G10" s="861">
        <v>777338853</v>
      </c>
      <c r="H10" s="861">
        <v>669448529</v>
      </c>
      <c r="I10" s="861">
        <v>695993721</v>
      </c>
      <c r="J10" s="861">
        <v>646173941</v>
      </c>
      <c r="K10" s="861">
        <v>454139809</v>
      </c>
      <c r="L10" s="861">
        <v>624305941</v>
      </c>
      <c r="M10" s="862">
        <v>646814086</v>
      </c>
      <c r="N10" s="863">
        <f>SUM(B10:M10)</f>
        <v>8363570866</v>
      </c>
    </row>
    <row r="11" spans="1:15" ht="13.5" thickBot="1" x14ac:dyDescent="0.25">
      <c r="A11" s="698">
        <v>0.22500000000000001</v>
      </c>
      <c r="B11" s="723">
        <v>0.22500000000000001</v>
      </c>
      <c r="C11" s="864">
        <v>0.22500000000000001</v>
      </c>
      <c r="D11" s="864">
        <v>0.22500000000000001</v>
      </c>
      <c r="E11" s="864">
        <v>0.22500000000000001</v>
      </c>
      <c r="F11" s="864">
        <v>0.22500000000000001</v>
      </c>
      <c r="G11" s="864">
        <v>0.22500000000000001</v>
      </c>
      <c r="H11" s="864">
        <v>0.22500000000000001</v>
      </c>
      <c r="I11" s="864">
        <v>0.22500000000000001</v>
      </c>
      <c r="J11" s="864">
        <v>0.22500000000000001</v>
      </c>
      <c r="K11" s="864">
        <v>0.22500000000000001</v>
      </c>
      <c r="L11" s="864">
        <v>0.22500000000000001</v>
      </c>
      <c r="M11" s="864">
        <v>0.22500000000000001</v>
      </c>
      <c r="N11" s="711"/>
    </row>
    <row r="12" spans="1:15" ht="13.5" thickBot="1" x14ac:dyDescent="0.25">
      <c r="A12" s="692">
        <f>A10*A11</f>
        <v>1881803444.8500001</v>
      </c>
      <c r="B12" s="692">
        <f>B10*B11</f>
        <v>153672981.07500002</v>
      </c>
      <c r="C12" s="692">
        <f>C10*C11</f>
        <v>217697792.625</v>
      </c>
      <c r="D12" s="692">
        <f>D10*D11</f>
        <v>135781491.82500002</v>
      </c>
      <c r="E12" s="692">
        <f t="shared" ref="E12:J12" si="1">E10*E11</f>
        <v>173914705.57500002</v>
      </c>
      <c r="F12" s="692">
        <f t="shared" si="1"/>
        <v>185038125.75</v>
      </c>
      <c r="G12" s="692">
        <f t="shared" si="1"/>
        <v>174901241.92500001</v>
      </c>
      <c r="H12" s="692">
        <f t="shared" si="1"/>
        <v>150625919.02500001</v>
      </c>
      <c r="I12" s="692">
        <f t="shared" si="1"/>
        <v>156598587.22499999</v>
      </c>
      <c r="J12" s="692">
        <f t="shared" si="1"/>
        <v>145389136.72499999</v>
      </c>
      <c r="K12" s="692">
        <f>K10*K11</f>
        <v>102181457.02500001</v>
      </c>
      <c r="L12" s="692">
        <f>L10*L11</f>
        <v>140468836.72499999</v>
      </c>
      <c r="M12" s="692">
        <f>M10*M11</f>
        <v>145533169.34999999</v>
      </c>
      <c r="N12" s="863">
        <f t="shared" ref="N12" si="2">SUM(B12:M12)</f>
        <v>1881803444.8499999</v>
      </c>
    </row>
    <row r="13" spans="1:15" ht="13.5" thickBot="1" x14ac:dyDescent="0.25">
      <c r="A13" s="704" t="s">
        <v>421</v>
      </c>
    </row>
    <row r="14" spans="1:15" x14ac:dyDescent="0.2">
      <c r="A14" s="1272" t="s">
        <v>385</v>
      </c>
      <c r="B14" s="1272"/>
      <c r="C14" s="1272"/>
      <c r="D14" s="1272"/>
      <c r="E14" s="1272"/>
      <c r="F14" s="1272"/>
      <c r="G14" s="1272"/>
      <c r="H14" s="1272"/>
      <c r="I14" s="1272"/>
      <c r="J14" s="1272"/>
      <c r="K14" s="1272"/>
      <c r="L14" s="1272"/>
      <c r="M14" s="1272"/>
      <c r="N14" s="859"/>
    </row>
    <row r="15" spans="1:15" x14ac:dyDescent="0.2">
      <c r="A15" s="1283" t="s">
        <v>492</v>
      </c>
      <c r="B15" s="1283"/>
      <c r="C15" s="1283"/>
      <c r="D15" s="1283"/>
      <c r="E15" s="1283"/>
      <c r="F15" s="1283"/>
      <c r="G15" s="1283"/>
      <c r="H15" s="1283"/>
      <c r="I15" s="1283"/>
      <c r="J15" s="1283"/>
      <c r="K15" s="1283"/>
      <c r="L15" s="1283"/>
      <c r="M15" s="1283"/>
      <c r="N15" s="860"/>
    </row>
    <row r="16" spans="1:15" x14ac:dyDescent="0.2">
      <c r="A16" s="688"/>
      <c r="B16" s="856"/>
      <c r="C16" s="856"/>
      <c r="D16" s="856"/>
      <c r="E16" s="856"/>
      <c r="F16" s="856"/>
      <c r="G16" s="856"/>
      <c r="H16" s="856"/>
      <c r="I16" s="856"/>
      <c r="J16" s="856"/>
      <c r="K16" s="856"/>
      <c r="L16" s="856"/>
      <c r="M16" s="856"/>
      <c r="N16" s="859"/>
    </row>
    <row r="17" spans="1:14" ht="13.5" thickBot="1" x14ac:dyDescent="0.25">
      <c r="A17" s="706">
        <f>SUM(B17:M17)</f>
        <v>100.00000000000001</v>
      </c>
      <c r="B17" s="706">
        <f>B19/$A$19*100</f>
        <v>8.1663143221459595</v>
      </c>
      <c r="C17" s="706">
        <f t="shared" ref="C17:M17" si="3">C19/$A$19*100</f>
        <v>11.574903283882662</v>
      </c>
      <c r="D17" s="706">
        <f t="shared" si="3"/>
        <v>7.2137971177216613</v>
      </c>
      <c r="E17" s="706">
        <f t="shared" si="3"/>
        <v>9.2439545972784902</v>
      </c>
      <c r="F17" s="706">
        <f t="shared" si="3"/>
        <v>9.8361495364745029</v>
      </c>
      <c r="G17" s="706">
        <f t="shared" si="3"/>
        <v>9.2964763320056818</v>
      </c>
      <c r="H17" s="706">
        <f t="shared" si="3"/>
        <v>8.0033699856695062</v>
      </c>
      <c r="I17" s="706">
        <f t="shared" si="3"/>
        <v>8.3213463322372316</v>
      </c>
      <c r="J17" s="706">
        <f t="shared" si="3"/>
        <v>7.7245712372083037</v>
      </c>
      <c r="K17" s="706">
        <f t="shared" si="3"/>
        <v>5.4242563517440567</v>
      </c>
      <c r="L17" s="706">
        <f t="shared" si="3"/>
        <v>7.4626216194475852</v>
      </c>
      <c r="M17" s="706">
        <f t="shared" si="3"/>
        <v>7.7322392841843586</v>
      </c>
      <c r="N17" s="859"/>
    </row>
    <row r="18" spans="1:14" ht="13.5" thickBot="1" x14ac:dyDescent="0.25">
      <c r="A18" s="690" t="s">
        <v>386</v>
      </c>
      <c r="B18" s="690" t="s">
        <v>1</v>
      </c>
      <c r="C18" s="690" t="s">
        <v>2</v>
      </c>
      <c r="D18" s="690" t="s">
        <v>3</v>
      </c>
      <c r="E18" s="690" t="s">
        <v>4</v>
      </c>
      <c r="F18" s="690" t="s">
        <v>5</v>
      </c>
      <c r="G18" s="690" t="s">
        <v>6</v>
      </c>
      <c r="H18" s="690" t="s">
        <v>7</v>
      </c>
      <c r="I18" s="690" t="s">
        <v>8</v>
      </c>
      <c r="J18" s="690" t="s">
        <v>9</v>
      </c>
      <c r="K18" s="690" t="s">
        <v>10</v>
      </c>
      <c r="L18" s="690" t="s">
        <v>11</v>
      </c>
      <c r="M18" s="690" t="s">
        <v>12</v>
      </c>
    </row>
    <row r="19" spans="1:14" ht="13.5" thickBot="1" x14ac:dyDescent="0.25">
      <c r="A19" s="692">
        <f>B19+C19+D19+E19+F19+G19+H19+I19+J19+K19+L19+M19</f>
        <v>601769918</v>
      </c>
      <c r="B19" s="861">
        <v>49142423</v>
      </c>
      <c r="C19" s="861">
        <v>69654286</v>
      </c>
      <c r="D19" s="861">
        <v>43410461</v>
      </c>
      <c r="E19" s="861">
        <v>55627338</v>
      </c>
      <c r="F19" s="861">
        <v>59190989</v>
      </c>
      <c r="G19" s="861">
        <v>55943398</v>
      </c>
      <c r="H19" s="861">
        <v>48161873</v>
      </c>
      <c r="I19" s="861">
        <v>50075359</v>
      </c>
      <c r="J19" s="861">
        <v>46484146</v>
      </c>
      <c r="K19" s="861">
        <v>32641543</v>
      </c>
      <c r="L19" s="861">
        <v>44907812</v>
      </c>
      <c r="M19" s="862">
        <v>46530290</v>
      </c>
      <c r="N19" s="863">
        <f>SUM(B19:M19)</f>
        <v>601769918</v>
      </c>
    </row>
    <row r="20" spans="1:14" x14ac:dyDescent="0.2">
      <c r="A20" s="645">
        <v>0.7</v>
      </c>
      <c r="B20" s="712">
        <f t="shared" ref="B20:M20" si="4">B19*$A$20</f>
        <v>34399696.100000001</v>
      </c>
      <c r="C20" s="712">
        <f t="shared" si="4"/>
        <v>48758000.199999996</v>
      </c>
      <c r="D20" s="712">
        <f t="shared" si="4"/>
        <v>30387322.699999999</v>
      </c>
      <c r="E20" s="712">
        <f t="shared" si="4"/>
        <v>38939136.599999994</v>
      </c>
      <c r="F20" s="712">
        <f t="shared" si="4"/>
        <v>41433692.299999997</v>
      </c>
      <c r="G20" s="712">
        <f t="shared" si="4"/>
        <v>39160378.599999994</v>
      </c>
      <c r="H20" s="712">
        <f t="shared" si="4"/>
        <v>33713311.100000001</v>
      </c>
      <c r="I20" s="712">
        <f t="shared" si="4"/>
        <v>35052751.299999997</v>
      </c>
      <c r="J20" s="712">
        <f t="shared" si="4"/>
        <v>32538902.199999999</v>
      </c>
      <c r="K20" s="712">
        <f t="shared" si="4"/>
        <v>22849080.099999998</v>
      </c>
      <c r="L20" s="712">
        <f t="shared" si="4"/>
        <v>31435468.399999999</v>
      </c>
      <c r="M20" s="712">
        <f t="shared" si="4"/>
        <v>32571202.999999996</v>
      </c>
      <c r="N20" s="606">
        <f>SUM(B20:M20)</f>
        <v>421238942.59999996</v>
      </c>
    </row>
    <row r="21" spans="1:14" ht="13.5" thickBot="1" x14ac:dyDescent="0.25">
      <c r="A21" s="710">
        <v>0.3</v>
      </c>
      <c r="B21" s="712">
        <f t="shared" ref="B21:M21" si="5">B19*$A$21</f>
        <v>14742726.9</v>
      </c>
      <c r="C21" s="712">
        <f t="shared" si="5"/>
        <v>20896285.800000001</v>
      </c>
      <c r="D21" s="712">
        <f t="shared" si="5"/>
        <v>13023138.299999999</v>
      </c>
      <c r="E21" s="712">
        <f t="shared" si="5"/>
        <v>16688201.399999999</v>
      </c>
      <c r="F21" s="712">
        <f t="shared" si="5"/>
        <v>17757296.699999999</v>
      </c>
      <c r="G21" s="712">
        <f t="shared" si="5"/>
        <v>16783019.399999999</v>
      </c>
      <c r="H21" s="712">
        <f t="shared" si="5"/>
        <v>14448561.9</v>
      </c>
      <c r="I21" s="712">
        <f t="shared" si="5"/>
        <v>15022607.699999999</v>
      </c>
      <c r="J21" s="712">
        <f t="shared" si="5"/>
        <v>13945243.799999999</v>
      </c>
      <c r="K21" s="712">
        <f t="shared" si="5"/>
        <v>9792462.9000000004</v>
      </c>
      <c r="L21" s="712">
        <f t="shared" si="5"/>
        <v>13472343.6</v>
      </c>
      <c r="M21" s="712">
        <f t="shared" si="5"/>
        <v>13959087</v>
      </c>
      <c r="N21" s="606">
        <f>SUM(B21:M21)</f>
        <v>180530975.40000001</v>
      </c>
    </row>
    <row r="22" spans="1:14" ht="13.5" thickBot="1" x14ac:dyDescent="0.25">
      <c r="A22" s="704" t="s">
        <v>421</v>
      </c>
      <c r="B22" s="712"/>
      <c r="C22" s="712"/>
      <c r="D22" s="712"/>
      <c r="E22" s="712"/>
      <c r="F22" s="712"/>
      <c r="G22" s="712"/>
      <c r="H22" s="712"/>
      <c r="I22" s="712"/>
      <c r="J22" s="712"/>
      <c r="K22" s="712"/>
      <c r="L22" s="712"/>
      <c r="M22" s="712"/>
      <c r="N22" s="606">
        <f>SUM(N20:N21)</f>
        <v>601769918</v>
      </c>
    </row>
    <row r="23" spans="1:14" x14ac:dyDescent="0.2">
      <c r="A23" s="712"/>
      <c r="B23" s="712"/>
      <c r="C23" s="712"/>
      <c r="D23" s="712"/>
      <c r="E23" s="712"/>
      <c r="F23" s="712"/>
      <c r="G23" s="712"/>
      <c r="H23" s="712"/>
      <c r="I23" s="712"/>
      <c r="J23" s="712"/>
      <c r="K23" s="712"/>
      <c r="L23" s="712"/>
      <c r="M23" s="712"/>
    </row>
    <row r="24" spans="1:14" x14ac:dyDescent="0.2">
      <c r="A24" s="712"/>
      <c r="B24" s="712"/>
      <c r="C24" s="712"/>
      <c r="D24" s="712"/>
      <c r="E24" s="712"/>
      <c r="F24" s="712"/>
      <c r="G24" s="712"/>
      <c r="H24" s="712"/>
      <c r="I24" s="712"/>
      <c r="J24" s="712"/>
      <c r="K24" s="712"/>
      <c r="L24" s="712"/>
      <c r="M24" s="712"/>
    </row>
    <row r="25" spans="1:14" x14ac:dyDescent="0.2">
      <c r="A25" s="712"/>
      <c r="B25" s="712"/>
      <c r="C25" s="712"/>
      <c r="D25" s="712"/>
      <c r="E25" s="712"/>
      <c r="F25" s="712"/>
      <c r="G25" s="712"/>
      <c r="H25" s="712"/>
      <c r="I25" s="712"/>
      <c r="J25" s="712"/>
      <c r="K25" s="712"/>
      <c r="L25" s="712"/>
      <c r="M25" s="712"/>
    </row>
    <row r="26" spans="1:14" x14ac:dyDescent="0.2">
      <c r="A26" s="1272" t="s">
        <v>385</v>
      </c>
      <c r="B26" s="1272"/>
      <c r="C26" s="1272"/>
      <c r="D26" s="1272"/>
      <c r="E26" s="1272"/>
      <c r="F26" s="1272"/>
      <c r="G26" s="1272"/>
      <c r="H26" s="1272"/>
      <c r="I26" s="1272"/>
      <c r="J26" s="1272"/>
      <c r="K26" s="1272"/>
      <c r="L26" s="1272"/>
      <c r="M26" s="1272"/>
    </row>
    <row r="27" spans="1:14" x14ac:dyDescent="0.2">
      <c r="A27" s="1283" t="s">
        <v>493</v>
      </c>
      <c r="B27" s="1283"/>
      <c r="C27" s="1283"/>
      <c r="D27" s="1283"/>
      <c r="E27" s="1283"/>
      <c r="F27" s="1283"/>
      <c r="G27" s="1283"/>
      <c r="H27" s="1283"/>
      <c r="I27" s="1283"/>
      <c r="J27" s="1283"/>
      <c r="K27" s="1283"/>
      <c r="L27" s="1283"/>
      <c r="M27" s="1283"/>
      <c r="N27" s="865"/>
    </row>
    <row r="28" spans="1:14" x14ac:dyDescent="0.2">
      <c r="A28" s="688"/>
      <c r="B28" s="856"/>
      <c r="C28" s="856"/>
      <c r="D28" s="856"/>
      <c r="E28" s="856"/>
      <c r="F28" s="856"/>
      <c r="G28" s="856"/>
      <c r="H28" s="856"/>
      <c r="I28" s="856"/>
      <c r="J28" s="856"/>
      <c r="K28" s="856"/>
      <c r="L28" s="856"/>
      <c r="M28" s="856"/>
    </row>
    <row r="29" spans="1:14" ht="13.5" thickBot="1" x14ac:dyDescent="0.25">
      <c r="A29" s="706">
        <f>SUM(B29:M29)</f>
        <v>100</v>
      </c>
      <c r="B29" s="706">
        <f>B31/$A$31*100</f>
        <v>7.4476929757133821</v>
      </c>
      <c r="C29" s="706">
        <f t="shared" ref="C29:M29" si="6">C31/$A$31*100</f>
        <v>16.301775033155113</v>
      </c>
      <c r="D29" s="706">
        <f t="shared" si="6"/>
        <v>6.706596005591865</v>
      </c>
      <c r="E29" s="706">
        <f t="shared" si="6"/>
        <v>6.4310186236963123</v>
      </c>
      <c r="F29" s="706">
        <f t="shared" si="6"/>
        <v>7.2019311309095322</v>
      </c>
      <c r="G29" s="706">
        <f t="shared" si="6"/>
        <v>7.3458827096361157</v>
      </c>
      <c r="H29" s="706">
        <f t="shared" si="6"/>
        <v>7.7109987885564504</v>
      </c>
      <c r="I29" s="706">
        <f t="shared" si="6"/>
        <v>8.2968346130923187</v>
      </c>
      <c r="J29" s="706">
        <f t="shared" si="6"/>
        <v>8.5803496559918031</v>
      </c>
      <c r="K29" s="706">
        <f t="shared" si="6"/>
        <v>8.266278471460673</v>
      </c>
      <c r="L29" s="706">
        <f t="shared" si="6"/>
        <v>7.8650582477633586</v>
      </c>
      <c r="M29" s="706">
        <f t="shared" si="6"/>
        <v>7.8455837444330738</v>
      </c>
    </row>
    <row r="30" spans="1:14" ht="13.5" thickBot="1" x14ac:dyDescent="0.25">
      <c r="A30" s="690" t="s">
        <v>386</v>
      </c>
      <c r="B30" s="690" t="s">
        <v>1</v>
      </c>
      <c r="C30" s="690" t="s">
        <v>2</v>
      </c>
      <c r="D30" s="690" t="s">
        <v>3</v>
      </c>
      <c r="E30" s="690" t="s">
        <v>4</v>
      </c>
      <c r="F30" s="690" t="s">
        <v>5</v>
      </c>
      <c r="G30" s="690" t="s">
        <v>6</v>
      </c>
      <c r="H30" s="690" t="s">
        <v>7</v>
      </c>
      <c r="I30" s="690" t="s">
        <v>8</v>
      </c>
      <c r="J30" s="690" t="s">
        <v>9</v>
      </c>
      <c r="K30" s="690" t="s">
        <v>10</v>
      </c>
      <c r="L30" s="690" t="s">
        <v>11</v>
      </c>
      <c r="M30" s="690" t="s">
        <v>12</v>
      </c>
    </row>
    <row r="31" spans="1:14" ht="13.5" thickBot="1" x14ac:dyDescent="0.25">
      <c r="A31" s="692">
        <f>B31+C31+D31+E31+F31+G31+H31+I31+J31+K31+L31+M31</f>
        <v>153118154</v>
      </c>
      <c r="B31" s="861">
        <v>11403770</v>
      </c>
      <c r="C31" s="861">
        <v>24960977</v>
      </c>
      <c r="D31" s="861">
        <v>10269016</v>
      </c>
      <c r="E31" s="861">
        <v>9847057</v>
      </c>
      <c r="F31" s="861">
        <v>11027464</v>
      </c>
      <c r="G31" s="861">
        <v>11247880</v>
      </c>
      <c r="H31" s="861">
        <v>11806939</v>
      </c>
      <c r="I31" s="861">
        <v>12703960</v>
      </c>
      <c r="J31" s="861">
        <v>13138073</v>
      </c>
      <c r="K31" s="861">
        <v>12657173</v>
      </c>
      <c r="L31" s="861">
        <v>12042832</v>
      </c>
      <c r="M31" s="862">
        <v>12013013</v>
      </c>
      <c r="N31" s="863">
        <f>SUM(B31:M31)</f>
        <v>153118154</v>
      </c>
    </row>
    <row r="32" spans="1:14" ht="13.5" thickBot="1" x14ac:dyDescent="0.25">
      <c r="A32" s="698">
        <v>0.22500000000000001</v>
      </c>
      <c r="B32" s="698">
        <v>0.22500000000000001</v>
      </c>
      <c r="C32" s="698">
        <v>0.22500000000000001</v>
      </c>
      <c r="D32" s="698">
        <v>0.22500000000000001</v>
      </c>
      <c r="E32" s="698">
        <v>0.22500000000000001</v>
      </c>
      <c r="F32" s="698">
        <v>0.22500000000000001</v>
      </c>
      <c r="G32" s="698">
        <v>0.22500000000000001</v>
      </c>
      <c r="H32" s="698">
        <v>0.22500000000000001</v>
      </c>
      <c r="I32" s="698">
        <v>0.22500000000000001</v>
      </c>
      <c r="J32" s="698">
        <v>0.22500000000000001</v>
      </c>
      <c r="K32" s="698">
        <v>0.22500000000000001</v>
      </c>
      <c r="L32" s="698">
        <v>0.22500000000000001</v>
      </c>
      <c r="M32" s="698">
        <v>0.22500000000000001</v>
      </c>
      <c r="N32" s="711"/>
    </row>
    <row r="33" spans="1:14" ht="13.5" thickBot="1" x14ac:dyDescent="0.25">
      <c r="A33" s="692">
        <f t="shared" ref="A33:M33" si="7">A31*A32</f>
        <v>34451584.649999999</v>
      </c>
      <c r="B33" s="692">
        <f t="shared" si="7"/>
        <v>2565848.25</v>
      </c>
      <c r="C33" s="692">
        <f t="shared" si="7"/>
        <v>5616219.8250000002</v>
      </c>
      <c r="D33" s="692">
        <f t="shared" si="7"/>
        <v>2310528.6</v>
      </c>
      <c r="E33" s="692">
        <f t="shared" si="7"/>
        <v>2215587.8250000002</v>
      </c>
      <c r="F33" s="692">
        <f t="shared" si="7"/>
        <v>2481179.4</v>
      </c>
      <c r="G33" s="692">
        <f t="shared" si="7"/>
        <v>2530773</v>
      </c>
      <c r="H33" s="692">
        <f t="shared" si="7"/>
        <v>2656561.2749999999</v>
      </c>
      <c r="I33" s="692">
        <f t="shared" si="7"/>
        <v>2858391</v>
      </c>
      <c r="J33" s="692">
        <f t="shared" si="7"/>
        <v>2956066.4250000003</v>
      </c>
      <c r="K33" s="692">
        <f t="shared" si="7"/>
        <v>2847863.9250000003</v>
      </c>
      <c r="L33" s="692">
        <f t="shared" si="7"/>
        <v>2709637.2</v>
      </c>
      <c r="M33" s="866">
        <f t="shared" si="7"/>
        <v>2702927.9250000003</v>
      </c>
      <c r="N33" s="863">
        <f t="shared" ref="N33" si="8">SUM(B33:M33)</f>
        <v>34451584.649999999</v>
      </c>
    </row>
    <row r="34" spans="1:14" ht="13.5" thickBot="1" x14ac:dyDescent="0.25">
      <c r="A34" s="704" t="s">
        <v>421</v>
      </c>
      <c r="B34" s="702"/>
      <c r="C34" s="702"/>
      <c r="D34" s="702"/>
      <c r="E34" s="702"/>
      <c r="F34" s="702"/>
      <c r="G34" s="702"/>
      <c r="H34" s="702"/>
      <c r="I34" s="702"/>
      <c r="J34" s="702"/>
      <c r="K34" s="702"/>
      <c r="L34" s="702"/>
      <c r="M34" s="702"/>
    </row>
    <row r="35" spans="1:14" x14ac:dyDescent="0.2">
      <c r="A35" s="1272" t="s">
        <v>385</v>
      </c>
      <c r="B35" s="1272"/>
      <c r="C35" s="1272"/>
      <c r="D35" s="1272"/>
      <c r="E35" s="1272"/>
      <c r="F35" s="1272"/>
      <c r="G35" s="1272"/>
      <c r="H35" s="1272"/>
      <c r="I35" s="1272"/>
      <c r="J35" s="1272"/>
      <c r="K35" s="1272"/>
      <c r="L35" s="1272"/>
      <c r="M35" s="1272"/>
    </row>
    <row r="36" spans="1:14" x14ac:dyDescent="0.2">
      <c r="A36" s="1283" t="s">
        <v>508</v>
      </c>
      <c r="B36" s="1283"/>
      <c r="C36" s="1283"/>
      <c r="D36" s="1283"/>
      <c r="E36" s="1283"/>
      <c r="F36" s="1283"/>
      <c r="G36" s="1283"/>
      <c r="H36" s="1283"/>
      <c r="I36" s="1283"/>
      <c r="J36" s="1283"/>
      <c r="K36" s="1283"/>
      <c r="L36" s="1283"/>
      <c r="M36" s="1283"/>
      <c r="N36" s="865"/>
    </row>
    <row r="37" spans="1:14" x14ac:dyDescent="0.2">
      <c r="A37" s="688"/>
      <c r="B37" s="856"/>
      <c r="C37" s="856"/>
      <c r="D37" s="856"/>
      <c r="E37" s="856"/>
      <c r="F37" s="856"/>
      <c r="G37" s="856"/>
      <c r="H37" s="856"/>
      <c r="I37" s="856"/>
      <c r="J37" s="856"/>
      <c r="K37" s="856"/>
      <c r="L37" s="856"/>
      <c r="M37" s="856"/>
    </row>
    <row r="38" spans="1:14" ht="13.5" thickBot="1" x14ac:dyDescent="0.25">
      <c r="A38" s="706">
        <f>SUM(B38:M38)</f>
        <v>100.00000000000003</v>
      </c>
      <c r="B38" s="706">
        <f>B40/$A$40*100</f>
        <v>8.9422423863200748</v>
      </c>
      <c r="C38" s="706">
        <f t="shared" ref="C38:M38" si="9">C40/$A$40*100</f>
        <v>8.4467807486248994</v>
      </c>
      <c r="D38" s="706">
        <f t="shared" si="9"/>
        <v>8.0350099333791842</v>
      </c>
      <c r="E38" s="706">
        <f t="shared" si="9"/>
        <v>7.4385142437006699</v>
      </c>
      <c r="F38" s="706">
        <f t="shared" si="9"/>
        <v>8.5975263454624411</v>
      </c>
      <c r="G38" s="706">
        <f t="shared" si="9"/>
        <v>8.3090089072026956</v>
      </c>
      <c r="H38" s="706">
        <f t="shared" si="9"/>
        <v>8.611117984486139</v>
      </c>
      <c r="I38" s="706">
        <f t="shared" si="9"/>
        <v>8.2855322106613816</v>
      </c>
      <c r="J38" s="706">
        <f t="shared" si="9"/>
        <v>8.4452360396040067</v>
      </c>
      <c r="K38" s="706">
        <f t="shared" si="9"/>
        <v>8.4291728661468799</v>
      </c>
      <c r="L38" s="706">
        <f t="shared" si="9"/>
        <v>8.0847438026994212</v>
      </c>
      <c r="M38" s="706">
        <f t="shared" si="9"/>
        <v>8.3751145317122067</v>
      </c>
    </row>
    <row r="39" spans="1:14" ht="13.5" thickBot="1" x14ac:dyDescent="0.25">
      <c r="A39" s="690" t="s">
        <v>386</v>
      </c>
      <c r="B39" s="690" t="s">
        <v>1</v>
      </c>
      <c r="C39" s="690" t="s">
        <v>2</v>
      </c>
      <c r="D39" s="690" t="s">
        <v>3</v>
      </c>
      <c r="E39" s="690" t="s">
        <v>4</v>
      </c>
      <c r="F39" s="690" t="s">
        <v>5</v>
      </c>
      <c r="G39" s="690" t="s">
        <v>6</v>
      </c>
      <c r="H39" s="690" t="s">
        <v>7</v>
      </c>
      <c r="I39" s="690" t="s">
        <v>8</v>
      </c>
      <c r="J39" s="690" t="s">
        <v>9</v>
      </c>
      <c r="K39" s="690" t="s">
        <v>10</v>
      </c>
      <c r="L39" s="690" t="s">
        <v>11</v>
      </c>
      <c r="M39" s="690" t="s">
        <v>12</v>
      </c>
    </row>
    <row r="40" spans="1:14" ht="13.5" thickBot="1" x14ac:dyDescent="0.25">
      <c r="A40" s="692">
        <f>B40+C40+D40+E40+F40+G40+H40+I40+J40+K40+L40+M40</f>
        <v>277722208</v>
      </c>
      <c r="B40" s="867">
        <v>24834593</v>
      </c>
      <c r="C40" s="867">
        <v>23458586</v>
      </c>
      <c r="D40" s="867">
        <v>22315007</v>
      </c>
      <c r="E40" s="867">
        <v>20658406</v>
      </c>
      <c r="F40" s="867">
        <v>23877240</v>
      </c>
      <c r="G40" s="867">
        <v>23075963</v>
      </c>
      <c r="H40" s="867">
        <v>23914987</v>
      </c>
      <c r="I40" s="867">
        <v>23010763</v>
      </c>
      <c r="J40" s="867">
        <v>23454296</v>
      </c>
      <c r="K40" s="867">
        <v>23409685</v>
      </c>
      <c r="L40" s="867">
        <v>22453129</v>
      </c>
      <c r="M40" s="867">
        <v>23259553</v>
      </c>
      <c r="N40" s="725">
        <f>SUM(B40:M40)</f>
        <v>277722208</v>
      </c>
    </row>
    <row r="41" spans="1:14" ht="13.5" thickBot="1" x14ac:dyDescent="0.25">
      <c r="A41" s="698">
        <v>0.22500000000000001</v>
      </c>
      <c r="B41" s="698">
        <v>0.22500000000000001</v>
      </c>
      <c r="C41" s="698">
        <v>0.22500000000000001</v>
      </c>
      <c r="D41" s="698">
        <v>0.22500000000000001</v>
      </c>
      <c r="E41" s="698">
        <v>0.22500000000000001</v>
      </c>
      <c r="F41" s="698">
        <v>0.22500000000000001</v>
      </c>
      <c r="G41" s="698">
        <v>0.22500000000000001</v>
      </c>
      <c r="H41" s="698">
        <v>0.22500000000000001</v>
      </c>
      <c r="I41" s="698">
        <v>0.22500000000000001</v>
      </c>
      <c r="J41" s="698">
        <v>0.22500000000000001</v>
      </c>
      <c r="K41" s="698">
        <v>0.22500000000000001</v>
      </c>
      <c r="L41" s="698">
        <v>0.22500000000000001</v>
      </c>
      <c r="M41" s="698">
        <v>0.22500000000000001</v>
      </c>
      <c r="N41" s="606"/>
    </row>
    <row r="42" spans="1:14" ht="13.5" thickBot="1" x14ac:dyDescent="0.25">
      <c r="A42" s="692">
        <f t="shared" ref="A42:M42" si="10">A40*A41</f>
        <v>62487496.800000004</v>
      </c>
      <c r="B42" s="692">
        <f t="shared" si="10"/>
        <v>5587783.4249999998</v>
      </c>
      <c r="C42" s="692">
        <f t="shared" si="10"/>
        <v>5278181.8500000006</v>
      </c>
      <c r="D42" s="692">
        <f t="shared" si="10"/>
        <v>5020876.5750000002</v>
      </c>
      <c r="E42" s="692">
        <f t="shared" si="10"/>
        <v>4648141.3500000006</v>
      </c>
      <c r="F42" s="692">
        <f t="shared" si="10"/>
        <v>5372379</v>
      </c>
      <c r="G42" s="692">
        <f t="shared" si="10"/>
        <v>5192091.6749999998</v>
      </c>
      <c r="H42" s="692">
        <f t="shared" si="10"/>
        <v>5380872.0750000002</v>
      </c>
      <c r="I42" s="692">
        <f t="shared" si="10"/>
        <v>5177421.6749999998</v>
      </c>
      <c r="J42" s="692">
        <f t="shared" si="10"/>
        <v>5277216.6000000006</v>
      </c>
      <c r="K42" s="692">
        <f t="shared" si="10"/>
        <v>5267179.125</v>
      </c>
      <c r="L42" s="692">
        <f t="shared" si="10"/>
        <v>5051954.0250000004</v>
      </c>
      <c r="M42" s="692">
        <f t="shared" si="10"/>
        <v>5233399.4249999998</v>
      </c>
      <c r="N42" s="725">
        <f t="shared" ref="N42" si="11">SUM(B42:M42)</f>
        <v>62487496.799999997</v>
      </c>
    </row>
    <row r="43" spans="1:14" ht="12.75" customHeight="1" thickBot="1" x14ac:dyDescent="0.25">
      <c r="A43" s="704" t="s">
        <v>421</v>
      </c>
    </row>
    <row r="44" spans="1:14" x14ac:dyDescent="0.2">
      <c r="A44" s="1272" t="s">
        <v>385</v>
      </c>
      <c r="B44" s="1272"/>
      <c r="C44" s="1272"/>
      <c r="D44" s="1272"/>
      <c r="E44" s="1272"/>
      <c r="F44" s="1272"/>
      <c r="G44" s="1272"/>
      <c r="H44" s="1272"/>
      <c r="I44" s="1272"/>
      <c r="J44" s="1272"/>
      <c r="K44" s="1272"/>
      <c r="L44" s="1272"/>
      <c r="M44" s="1272"/>
      <c r="N44" s="859"/>
    </row>
    <row r="45" spans="1:14" x14ac:dyDescent="0.2">
      <c r="A45" s="1283" t="s">
        <v>509</v>
      </c>
      <c r="B45" s="1283"/>
      <c r="C45" s="1283"/>
      <c r="D45" s="1283"/>
      <c r="E45" s="1283"/>
      <c r="F45" s="1283"/>
      <c r="G45" s="1283"/>
      <c r="H45" s="1283"/>
      <c r="I45" s="1283"/>
      <c r="J45" s="1283"/>
      <c r="K45" s="1283"/>
      <c r="L45" s="1283"/>
      <c r="M45" s="1283"/>
      <c r="N45" s="860"/>
    </row>
    <row r="46" spans="1:14" x14ac:dyDescent="0.2">
      <c r="A46" s="688"/>
      <c r="B46" s="856"/>
      <c r="C46" s="856"/>
      <c r="D46" s="856"/>
      <c r="E46" s="856"/>
      <c r="F46" s="856"/>
      <c r="G46" s="856"/>
      <c r="H46" s="856"/>
      <c r="I46" s="856"/>
      <c r="J46" s="856"/>
      <c r="K46" s="856"/>
      <c r="L46" s="856"/>
      <c r="M46" s="856"/>
      <c r="N46" s="859"/>
    </row>
    <row r="47" spans="1:14" ht="13.5" thickBot="1" x14ac:dyDescent="0.25">
      <c r="A47" s="706">
        <f>SUM(B47:M47)</f>
        <v>99.999999999999972</v>
      </c>
      <c r="B47" s="706">
        <f>B49/$A$49*100</f>
        <v>13.54790773218291</v>
      </c>
      <c r="C47" s="706">
        <f t="shared" ref="C47:M47" si="12">C49/$A$49*100</f>
        <v>4.0756598453910211</v>
      </c>
      <c r="D47" s="706">
        <f t="shared" si="12"/>
        <v>4.0756598453910211</v>
      </c>
      <c r="E47" s="706">
        <f t="shared" si="12"/>
        <v>19.829911167857603</v>
      </c>
      <c r="F47" s="706">
        <f t="shared" si="12"/>
        <v>4.0756598453910211</v>
      </c>
      <c r="G47" s="706">
        <f t="shared" si="12"/>
        <v>4.0756598453910211</v>
      </c>
      <c r="H47" s="706">
        <f t="shared" si="12"/>
        <v>20.638193540564036</v>
      </c>
      <c r="I47" s="706">
        <f t="shared" si="12"/>
        <v>4.0756598453910211</v>
      </c>
      <c r="J47" s="706">
        <f t="shared" si="12"/>
        <v>4.0756598453910211</v>
      </c>
      <c r="K47" s="706">
        <f t="shared" si="12"/>
        <v>13.378708796267277</v>
      </c>
      <c r="L47" s="706">
        <f t="shared" si="12"/>
        <v>4.0756598453910211</v>
      </c>
      <c r="M47" s="706">
        <f t="shared" si="12"/>
        <v>4.0756598453910211</v>
      </c>
      <c r="N47" s="859"/>
    </row>
    <row r="48" spans="1:14" ht="13.5" thickBot="1" x14ac:dyDescent="0.25">
      <c r="A48" s="690" t="s">
        <v>386</v>
      </c>
      <c r="B48" s="690" t="s">
        <v>1</v>
      </c>
      <c r="C48" s="690" t="s">
        <v>2</v>
      </c>
      <c r="D48" s="690" t="s">
        <v>3</v>
      </c>
      <c r="E48" s="690" t="s">
        <v>4</v>
      </c>
      <c r="F48" s="690" t="s">
        <v>5</v>
      </c>
      <c r="G48" s="690" t="s">
        <v>6</v>
      </c>
      <c r="H48" s="690" t="s">
        <v>7</v>
      </c>
      <c r="I48" s="690" t="s">
        <v>8</v>
      </c>
      <c r="J48" s="690" t="s">
        <v>9</v>
      </c>
      <c r="K48" s="690" t="s">
        <v>10</v>
      </c>
      <c r="L48" s="690" t="s">
        <v>11</v>
      </c>
      <c r="M48" s="690" t="s">
        <v>12</v>
      </c>
    </row>
    <row r="49" spans="1:15" ht="13.5" thickBot="1" x14ac:dyDescent="0.25">
      <c r="A49" s="692">
        <f>B49+C49+D49+E49+F49+G49+H49+I49+J49+K49+L49+M49</f>
        <v>414655090</v>
      </c>
      <c r="B49" s="861">
        <v>56177089</v>
      </c>
      <c r="C49" s="861">
        <v>16899931</v>
      </c>
      <c r="D49" s="861">
        <v>16899931</v>
      </c>
      <c r="E49" s="861">
        <v>82225736</v>
      </c>
      <c r="F49" s="861">
        <v>16899931</v>
      </c>
      <c r="G49" s="861">
        <v>16899931</v>
      </c>
      <c r="H49" s="861">
        <v>85577320</v>
      </c>
      <c r="I49" s="861">
        <v>16899931</v>
      </c>
      <c r="J49" s="861">
        <v>16899931</v>
      </c>
      <c r="K49" s="861">
        <v>55475497</v>
      </c>
      <c r="L49" s="861">
        <v>16899931</v>
      </c>
      <c r="M49" s="862">
        <v>16899931</v>
      </c>
      <c r="N49" s="725">
        <f>SUM(B49:M49)</f>
        <v>414655090</v>
      </c>
    </row>
    <row r="50" spans="1:15" ht="13.5" thickBot="1" x14ac:dyDescent="0.25">
      <c r="A50" s="698">
        <v>0.22500000000000001</v>
      </c>
      <c r="B50" s="698">
        <v>0.22500000000000001</v>
      </c>
      <c r="C50" s="698">
        <v>0.22500000000000001</v>
      </c>
      <c r="D50" s="698">
        <v>0.22500000000000001</v>
      </c>
      <c r="E50" s="698">
        <v>0.22500000000000001</v>
      </c>
      <c r="F50" s="698">
        <v>0.22500000000000001</v>
      </c>
      <c r="G50" s="698">
        <v>0.22500000000000001</v>
      </c>
      <c r="H50" s="698">
        <v>0.22500000000000001</v>
      </c>
      <c r="I50" s="698">
        <v>0.22500000000000001</v>
      </c>
      <c r="J50" s="698">
        <v>0.22500000000000001</v>
      </c>
      <c r="K50" s="698">
        <v>0.22500000000000001</v>
      </c>
      <c r="L50" s="698">
        <v>0.22500000000000001</v>
      </c>
      <c r="M50" s="698">
        <v>0.22500000000000001</v>
      </c>
      <c r="N50" s="606"/>
    </row>
    <row r="51" spans="1:15" ht="13.5" thickBot="1" x14ac:dyDescent="0.25">
      <c r="A51" s="692">
        <f>A49*A50</f>
        <v>93297395.25</v>
      </c>
      <c r="B51" s="692">
        <f t="shared" ref="B51:M51" si="13">B49*B50</f>
        <v>12639845.025</v>
      </c>
      <c r="C51" s="692">
        <f t="shared" si="13"/>
        <v>3802484.4750000001</v>
      </c>
      <c r="D51" s="692">
        <f t="shared" si="13"/>
        <v>3802484.4750000001</v>
      </c>
      <c r="E51" s="692">
        <f t="shared" si="13"/>
        <v>18500790.600000001</v>
      </c>
      <c r="F51" s="692">
        <f t="shared" si="13"/>
        <v>3802484.4750000001</v>
      </c>
      <c r="G51" s="692">
        <f t="shared" si="13"/>
        <v>3802484.4750000001</v>
      </c>
      <c r="H51" s="692">
        <f t="shared" si="13"/>
        <v>19254897</v>
      </c>
      <c r="I51" s="692">
        <f t="shared" si="13"/>
        <v>3802484.4750000001</v>
      </c>
      <c r="J51" s="692">
        <f t="shared" si="13"/>
        <v>3802484.4750000001</v>
      </c>
      <c r="K51" s="692">
        <f t="shared" si="13"/>
        <v>12481986.825000001</v>
      </c>
      <c r="L51" s="692">
        <f t="shared" si="13"/>
        <v>3802484.4750000001</v>
      </c>
      <c r="M51" s="866">
        <f t="shared" si="13"/>
        <v>3802484.4750000001</v>
      </c>
      <c r="N51" s="725">
        <f t="shared" ref="N51" si="14">SUM(B51:M51)</f>
        <v>93297395.249999985</v>
      </c>
    </row>
    <row r="52" spans="1:15" ht="13.5" thickBot="1" x14ac:dyDescent="0.25">
      <c r="A52" s="704" t="s">
        <v>421</v>
      </c>
    </row>
    <row r="53" spans="1:15" x14ac:dyDescent="0.2">
      <c r="A53" s="1272" t="s">
        <v>385</v>
      </c>
      <c r="B53" s="1272"/>
      <c r="C53" s="1272"/>
      <c r="D53" s="1272"/>
      <c r="E53" s="1272"/>
      <c r="F53" s="1272"/>
      <c r="G53" s="1272"/>
      <c r="H53" s="1272"/>
      <c r="I53" s="1272"/>
      <c r="J53" s="1272"/>
      <c r="K53" s="1272"/>
      <c r="L53" s="1272"/>
      <c r="M53" s="1272"/>
      <c r="N53" s="859"/>
    </row>
    <row r="54" spans="1:15" x14ac:dyDescent="0.2">
      <c r="A54" s="1284" t="s">
        <v>496</v>
      </c>
      <c r="B54" s="1284"/>
      <c r="C54" s="1284"/>
      <c r="D54" s="1284"/>
      <c r="E54" s="1284"/>
      <c r="F54" s="1284"/>
      <c r="G54" s="1284"/>
      <c r="H54" s="1284"/>
      <c r="I54" s="1284"/>
      <c r="J54" s="1284"/>
      <c r="K54" s="1284"/>
      <c r="L54" s="1284"/>
      <c r="M54" s="1284"/>
      <c r="N54" s="860"/>
    </row>
    <row r="55" spans="1:15" x14ac:dyDescent="0.2">
      <c r="A55" s="688"/>
      <c r="B55" s="856"/>
      <c r="C55" s="856"/>
      <c r="D55" s="856"/>
      <c r="E55" s="856"/>
      <c r="F55" s="856"/>
      <c r="G55" s="856"/>
      <c r="H55" s="856"/>
      <c r="I55" s="856"/>
      <c r="J55" s="856"/>
      <c r="K55" s="856"/>
      <c r="L55" s="856"/>
      <c r="M55" s="856"/>
      <c r="N55" s="859"/>
    </row>
    <row r="56" spans="1:15" ht="13.5" thickBot="1" x14ac:dyDescent="0.25">
      <c r="A56" s="706">
        <f>SUM(B56:M56)</f>
        <v>100.00000000000001</v>
      </c>
      <c r="B56" s="706">
        <f>B58/$A$58*100</f>
        <v>7.2284029839429049</v>
      </c>
      <c r="C56" s="706">
        <f t="shared" ref="C56:M56" si="15">C58/$A$58*100</f>
        <v>8.1559786716878531</v>
      </c>
      <c r="D56" s="706">
        <f t="shared" si="15"/>
        <v>7.7479701599466031</v>
      </c>
      <c r="E56" s="706">
        <f t="shared" si="15"/>
        <v>8.6096976590064607</v>
      </c>
      <c r="F56" s="706">
        <f t="shared" si="15"/>
        <v>8.5030398826592979</v>
      </c>
      <c r="G56" s="706">
        <f t="shared" si="15"/>
        <v>8.7888151726581825</v>
      </c>
      <c r="H56" s="706">
        <f t="shared" si="15"/>
        <v>8.3692944411684795</v>
      </c>
      <c r="I56" s="706">
        <f t="shared" si="15"/>
        <v>8.7359941063955819</v>
      </c>
      <c r="J56" s="706">
        <f t="shared" si="15"/>
        <v>8.6703063395735125</v>
      </c>
      <c r="K56" s="706">
        <f t="shared" si="15"/>
        <v>8.2429979937793565</v>
      </c>
      <c r="L56" s="706">
        <f t="shared" si="15"/>
        <v>8.6259503448071744</v>
      </c>
      <c r="M56" s="706">
        <f t="shared" si="15"/>
        <v>8.3215522443745957</v>
      </c>
      <c r="N56" s="859"/>
    </row>
    <row r="57" spans="1:15" ht="13.5" thickBot="1" x14ac:dyDescent="0.25">
      <c r="A57" s="690" t="s">
        <v>386</v>
      </c>
      <c r="B57" s="690" t="s">
        <v>1</v>
      </c>
      <c r="C57" s="690" t="s">
        <v>2</v>
      </c>
      <c r="D57" s="690" t="s">
        <v>3</v>
      </c>
      <c r="E57" s="690" t="s">
        <v>4</v>
      </c>
      <c r="F57" s="690" t="s">
        <v>5</v>
      </c>
      <c r="G57" s="690" t="s">
        <v>6</v>
      </c>
      <c r="H57" s="690" t="s">
        <v>7</v>
      </c>
      <c r="I57" s="690" t="s">
        <v>8</v>
      </c>
      <c r="J57" s="690" t="s">
        <v>9</v>
      </c>
      <c r="K57" s="690" t="s">
        <v>10</v>
      </c>
      <c r="L57" s="690" t="s">
        <v>11</v>
      </c>
      <c r="M57" s="690" t="s">
        <v>12</v>
      </c>
    </row>
    <row r="58" spans="1:15" ht="13.5" thickBot="1" x14ac:dyDescent="0.25">
      <c r="A58" s="692">
        <f>B58+C58+D58+E58+F58+G58+H58+I58+J58+K58+L58+M58</f>
        <v>461283759</v>
      </c>
      <c r="B58" s="717">
        <v>33343449</v>
      </c>
      <c r="C58" s="717">
        <v>37622205</v>
      </c>
      <c r="D58" s="717">
        <v>35740128</v>
      </c>
      <c r="E58" s="717">
        <v>39715137</v>
      </c>
      <c r="F58" s="717">
        <v>39223142</v>
      </c>
      <c r="G58" s="717">
        <v>40541377</v>
      </c>
      <c r="H58" s="717">
        <v>38606196</v>
      </c>
      <c r="I58" s="717">
        <v>40297722</v>
      </c>
      <c r="J58" s="717">
        <v>39994715</v>
      </c>
      <c r="K58" s="717">
        <v>38023611</v>
      </c>
      <c r="L58" s="717">
        <v>39790108</v>
      </c>
      <c r="M58" s="717">
        <v>38385969</v>
      </c>
      <c r="N58" s="863">
        <f>SUM(B58:M58)</f>
        <v>461283759</v>
      </c>
      <c r="O58" s="711"/>
    </row>
    <row r="59" spans="1:15" ht="13.5" thickBot="1" x14ac:dyDescent="0.25">
      <c r="A59" s="698">
        <v>0.22500000000000001</v>
      </c>
      <c r="B59" s="698">
        <v>0.22500000000000001</v>
      </c>
      <c r="C59" s="698">
        <v>0.22500000000000001</v>
      </c>
      <c r="D59" s="698">
        <v>0.22500000000000001</v>
      </c>
      <c r="E59" s="698">
        <v>0.22500000000000001</v>
      </c>
      <c r="F59" s="698">
        <v>0.22500000000000001</v>
      </c>
      <c r="G59" s="698">
        <v>0.22500000000000001</v>
      </c>
      <c r="H59" s="698">
        <v>0.22500000000000001</v>
      </c>
      <c r="I59" s="698">
        <v>0.22500000000000001</v>
      </c>
      <c r="J59" s="698">
        <v>0.22500000000000001</v>
      </c>
      <c r="K59" s="698">
        <v>0.22500000000000001</v>
      </c>
      <c r="L59" s="698">
        <v>0.22500000000000001</v>
      </c>
      <c r="M59" s="698">
        <v>0.22500000000000001</v>
      </c>
      <c r="N59" s="711"/>
    </row>
    <row r="60" spans="1:15" ht="13.5" thickBot="1" x14ac:dyDescent="0.25">
      <c r="A60" s="692">
        <f>A58*A59</f>
        <v>103788845.77500001</v>
      </c>
      <c r="B60" s="692">
        <f t="shared" ref="B60:H60" si="16">B58*B59</f>
        <v>7502276.0250000004</v>
      </c>
      <c r="C60" s="692">
        <f t="shared" si="16"/>
        <v>8464996.125</v>
      </c>
      <c r="D60" s="692">
        <f t="shared" si="16"/>
        <v>8041528.7999999998</v>
      </c>
      <c r="E60" s="692">
        <f t="shared" si="16"/>
        <v>8935905.8250000011</v>
      </c>
      <c r="F60" s="692">
        <f t="shared" si="16"/>
        <v>8825206.9500000011</v>
      </c>
      <c r="G60" s="692">
        <f t="shared" si="16"/>
        <v>9121809.8250000011</v>
      </c>
      <c r="H60" s="692">
        <f t="shared" si="16"/>
        <v>8686394.0999999996</v>
      </c>
      <c r="I60" s="692">
        <f>I58*I59</f>
        <v>9066987.4500000011</v>
      </c>
      <c r="J60" s="692">
        <f>J58*J59</f>
        <v>8998810.875</v>
      </c>
      <c r="K60" s="692">
        <f>K58*K59</f>
        <v>8555312.4749999996</v>
      </c>
      <c r="L60" s="692">
        <f>L58*L59</f>
        <v>8952774.3000000007</v>
      </c>
      <c r="M60" s="866">
        <f>M58*M59</f>
        <v>8636843.0250000004</v>
      </c>
      <c r="N60" s="863">
        <f>SUM(B60:M60)</f>
        <v>103788845.77500001</v>
      </c>
    </row>
    <row r="61" spans="1:15" ht="13.5" thickBot="1" x14ac:dyDescent="0.25">
      <c r="A61" s="704" t="s">
        <v>421</v>
      </c>
    </row>
    <row r="62" spans="1:15" x14ac:dyDescent="0.2">
      <c r="A62" s="1272" t="s">
        <v>385</v>
      </c>
      <c r="B62" s="1272"/>
      <c r="C62" s="1272"/>
      <c r="D62" s="1272"/>
      <c r="E62" s="1272"/>
      <c r="F62" s="1272"/>
      <c r="G62" s="1272"/>
      <c r="H62" s="1272"/>
      <c r="I62" s="1272"/>
      <c r="J62" s="1272"/>
      <c r="K62" s="1272"/>
      <c r="L62" s="1272"/>
      <c r="M62" s="1272"/>
    </row>
    <row r="63" spans="1:15" x14ac:dyDescent="0.2">
      <c r="A63" s="1283" t="s">
        <v>510</v>
      </c>
      <c r="B63" s="1283"/>
      <c r="C63" s="1283"/>
      <c r="D63" s="1283"/>
      <c r="E63" s="1283"/>
      <c r="F63" s="1283"/>
      <c r="G63" s="1283"/>
      <c r="H63" s="1283"/>
      <c r="I63" s="1283"/>
      <c r="J63" s="1283"/>
      <c r="K63" s="1283"/>
      <c r="L63" s="1283"/>
      <c r="M63" s="1283"/>
    </row>
    <row r="64" spans="1:15" x14ac:dyDescent="0.2">
      <c r="A64" s="688"/>
      <c r="B64" s="856"/>
      <c r="C64" s="856"/>
      <c r="D64" s="856"/>
      <c r="E64" s="856"/>
      <c r="F64" s="856"/>
      <c r="G64" s="856"/>
      <c r="H64" s="856"/>
      <c r="I64" s="856"/>
      <c r="J64" s="856"/>
      <c r="K64" s="856"/>
      <c r="L64" s="856"/>
      <c r="M64" s="856"/>
    </row>
    <row r="65" spans="1:14" ht="13.5" thickBot="1" x14ac:dyDescent="0.25">
      <c r="A65" s="706">
        <f>SUM(B65:M65)</f>
        <v>100.00000000000001</v>
      </c>
      <c r="B65" s="706">
        <f>B67/$A$67*100</f>
        <v>9.1874877437318716</v>
      </c>
      <c r="C65" s="706">
        <f t="shared" ref="C65:M65" si="17">C67/$A$67*100</f>
        <v>10.632403767015239</v>
      </c>
      <c r="D65" s="706">
        <f t="shared" si="17"/>
        <v>8.4968134502777914</v>
      </c>
      <c r="E65" s="706">
        <f t="shared" si="17"/>
        <v>7.7617921462276138</v>
      </c>
      <c r="F65" s="706">
        <f t="shared" si="17"/>
        <v>8.3195515113527829</v>
      </c>
      <c r="G65" s="706">
        <f t="shared" si="17"/>
        <v>7.0033946486623044</v>
      </c>
      <c r="H65" s="706">
        <f t="shared" si="17"/>
        <v>7.6319300509004373</v>
      </c>
      <c r="I65" s="706">
        <f t="shared" si="17"/>
        <v>8.1273547821264422</v>
      </c>
      <c r="J65" s="706">
        <f t="shared" si="17"/>
        <v>7.8929529189722976</v>
      </c>
      <c r="K65" s="706">
        <f t="shared" si="17"/>
        <v>8.1390428788840072</v>
      </c>
      <c r="L65" s="706">
        <f t="shared" si="17"/>
        <v>8.1565750240203556</v>
      </c>
      <c r="M65" s="706">
        <f t="shared" si="17"/>
        <v>8.6507010778288524</v>
      </c>
    </row>
    <row r="66" spans="1:14" ht="13.5" thickBot="1" x14ac:dyDescent="0.25">
      <c r="A66" s="690" t="s">
        <v>386</v>
      </c>
      <c r="B66" s="690" t="s">
        <v>1</v>
      </c>
      <c r="C66" s="690" t="s">
        <v>2</v>
      </c>
      <c r="D66" s="690" t="s">
        <v>3</v>
      </c>
      <c r="E66" s="690" t="s">
        <v>4</v>
      </c>
      <c r="F66" s="690" t="s">
        <v>5</v>
      </c>
      <c r="G66" s="690" t="s">
        <v>6</v>
      </c>
      <c r="H66" s="690" t="s">
        <v>7</v>
      </c>
      <c r="I66" s="690" t="s">
        <v>8</v>
      </c>
      <c r="J66" s="690" t="s">
        <v>9</v>
      </c>
      <c r="K66" s="690" t="s">
        <v>10</v>
      </c>
      <c r="L66" s="690" t="s">
        <v>11</v>
      </c>
      <c r="M66" s="690" t="s">
        <v>12</v>
      </c>
    </row>
    <row r="67" spans="1:14" ht="13.5" thickBot="1" x14ac:dyDescent="0.25">
      <c r="A67" s="692">
        <f>B67+C67+D67+E67+F67+G67+H67+I67+J67+K67+L67+M67</f>
        <v>53130977</v>
      </c>
      <c r="B67" s="868">
        <v>4881402</v>
      </c>
      <c r="C67" s="868">
        <v>5649100</v>
      </c>
      <c r="D67" s="868">
        <v>4514440</v>
      </c>
      <c r="E67" s="868">
        <v>4123916</v>
      </c>
      <c r="F67" s="868">
        <v>4420259</v>
      </c>
      <c r="G67" s="868">
        <v>3720972</v>
      </c>
      <c r="H67" s="868">
        <v>4054919</v>
      </c>
      <c r="I67" s="868">
        <v>4318143</v>
      </c>
      <c r="J67" s="868">
        <v>4193603</v>
      </c>
      <c r="K67" s="868">
        <v>4324353</v>
      </c>
      <c r="L67" s="868">
        <v>4333668</v>
      </c>
      <c r="M67" s="869">
        <v>4596202</v>
      </c>
      <c r="N67" s="725">
        <f>SUM(B67:M67)</f>
        <v>53130977</v>
      </c>
    </row>
    <row r="68" spans="1:14" ht="13.5" thickBot="1" x14ac:dyDescent="0.25">
      <c r="A68" s="698">
        <v>0.22500000000000001</v>
      </c>
      <c r="B68" s="698">
        <v>0.22500000000000001</v>
      </c>
      <c r="C68" s="698">
        <v>0.22500000000000001</v>
      </c>
      <c r="D68" s="698">
        <v>0.22500000000000001</v>
      </c>
      <c r="E68" s="698">
        <v>0.22500000000000001</v>
      </c>
      <c r="F68" s="698">
        <v>0.22500000000000001</v>
      </c>
      <c r="G68" s="698">
        <v>0.22500000000000001</v>
      </c>
      <c r="H68" s="698">
        <v>0.22500000000000001</v>
      </c>
      <c r="I68" s="698">
        <v>0.22500000000000001</v>
      </c>
      <c r="J68" s="698">
        <v>0.22500000000000001</v>
      </c>
      <c r="K68" s="698">
        <v>0.22500000000000001</v>
      </c>
      <c r="L68" s="698">
        <v>0.22500000000000001</v>
      </c>
      <c r="M68" s="698">
        <v>0.22500000000000001</v>
      </c>
      <c r="N68" s="606"/>
    </row>
    <row r="69" spans="1:14" ht="13.5" thickBot="1" x14ac:dyDescent="0.25">
      <c r="A69" s="692">
        <f t="shared" ref="A69:M69" si="18">A67*A68</f>
        <v>11954469.825000001</v>
      </c>
      <c r="B69" s="692">
        <f t="shared" si="18"/>
        <v>1098315.45</v>
      </c>
      <c r="C69" s="692">
        <f t="shared" si="18"/>
        <v>1271047.5</v>
      </c>
      <c r="D69" s="692">
        <f t="shared" si="18"/>
        <v>1015749</v>
      </c>
      <c r="E69" s="692">
        <f t="shared" si="18"/>
        <v>927881.1</v>
      </c>
      <c r="F69" s="692">
        <f t="shared" si="18"/>
        <v>994558.27500000002</v>
      </c>
      <c r="G69" s="692">
        <f t="shared" si="18"/>
        <v>837218.70000000007</v>
      </c>
      <c r="H69" s="692">
        <f t="shared" si="18"/>
        <v>912356.77500000002</v>
      </c>
      <c r="I69" s="692">
        <f t="shared" si="18"/>
        <v>971582.17500000005</v>
      </c>
      <c r="J69" s="692">
        <f t="shared" si="18"/>
        <v>943560.67500000005</v>
      </c>
      <c r="K69" s="692">
        <f t="shared" si="18"/>
        <v>972979.42500000005</v>
      </c>
      <c r="L69" s="692">
        <f t="shared" si="18"/>
        <v>975075.3</v>
      </c>
      <c r="M69" s="866">
        <f t="shared" si="18"/>
        <v>1034145.4500000001</v>
      </c>
      <c r="N69" s="725">
        <f t="shared" ref="N69" si="19">SUM(B69:M69)</f>
        <v>11954469.825000001</v>
      </c>
    </row>
    <row r="70" spans="1:14" ht="13.5" thickBot="1" x14ac:dyDescent="0.25">
      <c r="A70" s="704" t="s">
        <v>421</v>
      </c>
    </row>
    <row r="71" spans="1:14" x14ac:dyDescent="0.2">
      <c r="A71" s="1272" t="s">
        <v>385</v>
      </c>
      <c r="B71" s="1272"/>
      <c r="C71" s="1272"/>
      <c r="D71" s="1272"/>
      <c r="E71" s="1272"/>
      <c r="F71" s="1272"/>
      <c r="G71" s="1272"/>
      <c r="H71" s="1272"/>
      <c r="I71" s="1272"/>
      <c r="J71" s="1272"/>
      <c r="K71" s="1272"/>
      <c r="L71" s="1272"/>
      <c r="M71" s="1272"/>
    </row>
    <row r="72" spans="1:14" x14ac:dyDescent="0.2">
      <c r="A72" s="1283" t="s">
        <v>511</v>
      </c>
      <c r="B72" s="1283"/>
      <c r="C72" s="1283"/>
      <c r="D72" s="1283"/>
      <c r="E72" s="1283"/>
      <c r="F72" s="1283"/>
      <c r="G72" s="1283"/>
      <c r="H72" s="1283"/>
      <c r="I72" s="1283"/>
      <c r="J72" s="1283"/>
      <c r="K72" s="1283"/>
      <c r="L72" s="1283"/>
      <c r="M72" s="1283"/>
    </row>
    <row r="73" spans="1:14" x14ac:dyDescent="0.2">
      <c r="A73" s="688"/>
      <c r="B73" s="856"/>
      <c r="C73" s="856"/>
      <c r="D73" s="856"/>
      <c r="E73" s="856"/>
      <c r="F73" s="856"/>
      <c r="G73" s="856"/>
      <c r="H73" s="856"/>
      <c r="I73" s="856"/>
      <c r="J73" s="856"/>
      <c r="K73" s="856"/>
      <c r="L73" s="856"/>
      <c r="M73" s="856"/>
    </row>
    <row r="74" spans="1:14" ht="13.5" thickBot="1" x14ac:dyDescent="0.25">
      <c r="A74" s="706">
        <f>SUM(B74:M74)</f>
        <v>99.999999999999957</v>
      </c>
      <c r="B74" s="706">
        <f>B76/$A$76*100</f>
        <v>8.3333333333333321</v>
      </c>
      <c r="C74" s="706">
        <f t="shared" ref="C74:M74" si="20">C76/$A$76*100</f>
        <v>8.3333333333333321</v>
      </c>
      <c r="D74" s="706">
        <f t="shared" si="20"/>
        <v>8.3333333333333321</v>
      </c>
      <c r="E74" s="706">
        <f t="shared" si="20"/>
        <v>8.3333333333333321</v>
      </c>
      <c r="F74" s="706">
        <f t="shared" si="20"/>
        <v>8.3333333333333321</v>
      </c>
      <c r="G74" s="706">
        <f t="shared" si="20"/>
        <v>8.3333333333333321</v>
      </c>
      <c r="H74" s="706">
        <f t="shared" si="20"/>
        <v>8.3333333333333321</v>
      </c>
      <c r="I74" s="706">
        <f t="shared" si="20"/>
        <v>8.3333333333333321</v>
      </c>
      <c r="J74" s="706">
        <f t="shared" si="20"/>
        <v>8.3333333333333321</v>
      </c>
      <c r="K74" s="706">
        <f t="shared" si="20"/>
        <v>8.3333333333333321</v>
      </c>
      <c r="L74" s="706">
        <f t="shared" si="20"/>
        <v>8.3333333333333321</v>
      </c>
      <c r="M74" s="706">
        <f t="shared" si="20"/>
        <v>8.3333333333333321</v>
      </c>
    </row>
    <row r="75" spans="1:14" ht="13.5" thickBot="1" x14ac:dyDescent="0.25">
      <c r="A75" s="690" t="s">
        <v>386</v>
      </c>
      <c r="B75" s="690" t="s">
        <v>1</v>
      </c>
      <c r="C75" s="690" t="s">
        <v>2</v>
      </c>
      <c r="D75" s="690" t="s">
        <v>3</v>
      </c>
      <c r="E75" s="690" t="s">
        <v>4</v>
      </c>
      <c r="F75" s="690" t="s">
        <v>5</v>
      </c>
      <c r="G75" s="690" t="s">
        <v>6</v>
      </c>
      <c r="H75" s="690" t="s">
        <v>7</v>
      </c>
      <c r="I75" s="690" t="s">
        <v>8</v>
      </c>
      <c r="J75" s="690" t="s">
        <v>9</v>
      </c>
      <c r="K75" s="690" t="s">
        <v>10</v>
      </c>
      <c r="L75" s="690" t="s">
        <v>11</v>
      </c>
      <c r="M75" s="690" t="s">
        <v>12</v>
      </c>
      <c r="N75" s="606"/>
    </row>
    <row r="76" spans="1:14" ht="13.5" thickBot="1" x14ac:dyDescent="0.25">
      <c r="A76" s="692">
        <f>B76+C76+D76+E76+F76+G76+H76+I76+J76+K76+L76+M76</f>
        <v>12592248</v>
      </c>
      <c r="B76" s="868">
        <v>1049354</v>
      </c>
      <c r="C76" s="868">
        <v>1049354</v>
      </c>
      <c r="D76" s="868">
        <v>1049354</v>
      </c>
      <c r="E76" s="868">
        <v>1049354</v>
      </c>
      <c r="F76" s="868">
        <v>1049354</v>
      </c>
      <c r="G76" s="868">
        <v>1049354</v>
      </c>
      <c r="H76" s="868">
        <v>1049354</v>
      </c>
      <c r="I76" s="868">
        <v>1049354</v>
      </c>
      <c r="J76" s="868">
        <v>1049354</v>
      </c>
      <c r="K76" s="868">
        <v>1049354</v>
      </c>
      <c r="L76" s="868">
        <v>1049354</v>
      </c>
      <c r="M76" s="869">
        <v>1049354</v>
      </c>
      <c r="N76" s="725">
        <f>SUM(B76:M76)</f>
        <v>12592248</v>
      </c>
    </row>
    <row r="77" spans="1:14" ht="13.5" thickBot="1" x14ac:dyDescent="0.25">
      <c r="A77" s="698">
        <v>0.22500000000000001</v>
      </c>
      <c r="B77" s="698">
        <v>0.22500000000000001</v>
      </c>
      <c r="C77" s="698">
        <v>0.22500000000000001</v>
      </c>
      <c r="D77" s="698">
        <v>0.22500000000000001</v>
      </c>
      <c r="E77" s="698">
        <v>0.22500000000000001</v>
      </c>
      <c r="F77" s="698">
        <v>0.22500000000000001</v>
      </c>
      <c r="G77" s="698">
        <v>0.22500000000000001</v>
      </c>
      <c r="H77" s="698">
        <v>0.22500000000000001</v>
      </c>
      <c r="I77" s="698">
        <v>0.22500000000000001</v>
      </c>
      <c r="J77" s="698">
        <v>0.22500000000000001</v>
      </c>
      <c r="K77" s="698">
        <v>0.22500000000000001</v>
      </c>
      <c r="L77" s="698">
        <v>0.22500000000000001</v>
      </c>
      <c r="M77" s="698">
        <v>0.22500000000000001</v>
      </c>
    </row>
    <row r="78" spans="1:14" ht="13.5" thickBot="1" x14ac:dyDescent="0.25">
      <c r="A78" s="692">
        <f t="shared" ref="A78:M78" si="21">A76*A77</f>
        <v>2833255.8000000003</v>
      </c>
      <c r="B78" s="692">
        <f t="shared" si="21"/>
        <v>236104.65</v>
      </c>
      <c r="C78" s="692">
        <f t="shared" si="21"/>
        <v>236104.65</v>
      </c>
      <c r="D78" s="692">
        <f t="shared" si="21"/>
        <v>236104.65</v>
      </c>
      <c r="E78" s="692">
        <f t="shared" si="21"/>
        <v>236104.65</v>
      </c>
      <c r="F78" s="692">
        <f t="shared" si="21"/>
        <v>236104.65</v>
      </c>
      <c r="G78" s="692">
        <f t="shared" si="21"/>
        <v>236104.65</v>
      </c>
      <c r="H78" s="692">
        <f t="shared" si="21"/>
        <v>236104.65</v>
      </c>
      <c r="I78" s="692">
        <f t="shared" si="21"/>
        <v>236104.65</v>
      </c>
      <c r="J78" s="692">
        <f t="shared" si="21"/>
        <v>236104.65</v>
      </c>
      <c r="K78" s="692">
        <f t="shared" si="21"/>
        <v>236104.65</v>
      </c>
      <c r="L78" s="692">
        <f t="shared" si="21"/>
        <v>236104.65</v>
      </c>
      <c r="M78" s="866">
        <f t="shared" si="21"/>
        <v>236104.65</v>
      </c>
      <c r="N78" s="725">
        <f>SUM(B78:M78)</f>
        <v>2833255.7999999993</v>
      </c>
    </row>
    <row r="79" spans="1:14" ht="13.5" thickBot="1" x14ac:dyDescent="0.25">
      <c r="A79" s="704" t="s">
        <v>421</v>
      </c>
    </row>
    <row r="80" spans="1:14" x14ac:dyDescent="0.2">
      <c r="A80" s="1279"/>
      <c r="B80" s="1279"/>
      <c r="C80" s="1279"/>
      <c r="D80" s="1279"/>
      <c r="E80" s="1279"/>
      <c r="F80" s="1279"/>
      <c r="G80" s="1279"/>
      <c r="H80" s="1279"/>
      <c r="I80" s="1279"/>
      <c r="J80" s="1279"/>
      <c r="K80" s="1279"/>
      <c r="L80" s="1279"/>
      <c r="M80" s="1279"/>
    </row>
    <row r="81" spans="1:26" x14ac:dyDescent="0.2">
      <c r="A81" s="1279"/>
      <c r="B81" s="1279"/>
      <c r="C81" s="1279"/>
      <c r="D81" s="1279"/>
      <c r="E81" s="1279"/>
      <c r="F81" s="1279"/>
      <c r="G81" s="1279"/>
      <c r="H81" s="1279"/>
      <c r="I81" s="1279"/>
      <c r="J81" s="1279"/>
      <c r="K81" s="1279"/>
      <c r="L81" s="1279"/>
      <c r="M81" s="1279"/>
    </row>
    <row r="82" spans="1:26" x14ac:dyDescent="0.2">
      <c r="A82" s="1272" t="s">
        <v>385</v>
      </c>
      <c r="B82" s="1272"/>
      <c r="C82" s="1272"/>
      <c r="D82" s="1272"/>
      <c r="E82" s="1272"/>
      <c r="F82" s="1272"/>
      <c r="G82" s="1272"/>
      <c r="H82" s="1272"/>
      <c r="I82" s="1272"/>
      <c r="J82" s="1272"/>
      <c r="K82" s="1272"/>
      <c r="L82" s="1272"/>
      <c r="M82" s="1272"/>
    </row>
    <row r="83" spans="1:26" x14ac:dyDescent="0.2">
      <c r="A83" s="1283" t="s">
        <v>512</v>
      </c>
      <c r="B83" s="1283"/>
      <c r="C83" s="1283"/>
      <c r="D83" s="1283"/>
      <c r="E83" s="1283"/>
      <c r="F83" s="1283"/>
      <c r="G83" s="1283"/>
      <c r="H83" s="1283"/>
      <c r="I83" s="1283"/>
      <c r="J83" s="1283"/>
      <c r="K83" s="1283"/>
      <c r="L83" s="1283"/>
      <c r="M83" s="1283"/>
      <c r="N83" s="720"/>
      <c r="O83" s="720"/>
      <c r="P83" s="720"/>
      <c r="Q83" s="720"/>
      <c r="R83" s="720"/>
      <c r="S83" s="720"/>
      <c r="T83" s="720"/>
      <c r="U83" s="720"/>
      <c r="V83" s="720"/>
      <c r="W83" s="720"/>
      <c r="X83" s="720"/>
      <c r="Y83" s="720"/>
      <c r="Z83" s="720"/>
    </row>
    <row r="84" spans="1:26" ht="13.5" thickBot="1" x14ac:dyDescent="0.25">
      <c r="A84" s="706"/>
      <c r="B84" s="870">
        <f>B86/$A$86*100</f>
        <v>11.212544738372825</v>
      </c>
      <c r="C84" s="870">
        <f t="shared" ref="C84:M84" si="22">C86/$A$86*100</f>
        <v>9.8313859325839577</v>
      </c>
      <c r="D84" s="870">
        <f t="shared" si="22"/>
        <v>8.9962220666253323</v>
      </c>
      <c r="E84" s="870">
        <f t="shared" si="22"/>
        <v>8.1855820893234768</v>
      </c>
      <c r="F84" s="870">
        <f t="shared" si="22"/>
        <v>7.5750714788299529</v>
      </c>
      <c r="G84" s="870">
        <f t="shared" si="22"/>
        <v>5.9686837981562855</v>
      </c>
      <c r="H84" s="870">
        <f t="shared" si="22"/>
        <v>7.5083924191824138</v>
      </c>
      <c r="I84" s="870">
        <f t="shared" si="22"/>
        <v>8.0247846653340513</v>
      </c>
      <c r="J84" s="870">
        <f t="shared" si="22"/>
        <v>8.6804216395405351</v>
      </c>
      <c r="K84" s="870">
        <f t="shared" si="22"/>
        <v>6.0843873359959462</v>
      </c>
      <c r="L84" s="870">
        <f t="shared" si="22"/>
        <v>9.8149200097690077</v>
      </c>
      <c r="M84" s="870">
        <f t="shared" si="22"/>
        <v>8.1176038262862136</v>
      </c>
      <c r="N84" s="720"/>
      <c r="O84" s="720"/>
    </row>
    <row r="85" spans="1:26" ht="13.5" thickBot="1" x14ac:dyDescent="0.25">
      <c r="A85" s="690" t="s">
        <v>386</v>
      </c>
      <c r="B85" s="690" t="s">
        <v>1</v>
      </c>
      <c r="C85" s="690" t="s">
        <v>2</v>
      </c>
      <c r="D85" s="690" t="s">
        <v>3</v>
      </c>
      <c r="E85" s="690" t="s">
        <v>4</v>
      </c>
      <c r="F85" s="690" t="s">
        <v>5</v>
      </c>
      <c r="G85" s="690" t="s">
        <v>6</v>
      </c>
      <c r="H85" s="690" t="s">
        <v>7</v>
      </c>
      <c r="I85" s="690" t="s">
        <v>8</v>
      </c>
      <c r="J85" s="690" t="s">
        <v>9</v>
      </c>
      <c r="K85" s="690" t="s">
        <v>10</v>
      </c>
      <c r="L85" s="690" t="s">
        <v>11</v>
      </c>
      <c r="M85" s="690" t="s">
        <v>12</v>
      </c>
      <c r="N85" s="720"/>
      <c r="O85" s="720"/>
    </row>
    <row r="86" spans="1:26" ht="13.5" thickBot="1" x14ac:dyDescent="0.25">
      <c r="A86" s="692">
        <f>B86+C86+D86+E86+F86+G86+H86+I86+J86+K86+L86+M86</f>
        <v>991453694</v>
      </c>
      <c r="B86" s="868">
        <v>111167189</v>
      </c>
      <c r="C86" s="868">
        <v>97473639</v>
      </c>
      <c r="D86" s="868">
        <v>89193376</v>
      </c>
      <c r="E86" s="868">
        <v>81156256</v>
      </c>
      <c r="F86" s="868">
        <v>75103326</v>
      </c>
      <c r="G86" s="868">
        <v>59176736</v>
      </c>
      <c r="H86" s="868">
        <v>74442234</v>
      </c>
      <c r="I86" s="868">
        <v>79562024</v>
      </c>
      <c r="J86" s="868">
        <v>86062361</v>
      </c>
      <c r="K86" s="868">
        <v>60323883</v>
      </c>
      <c r="L86" s="868">
        <v>97310387</v>
      </c>
      <c r="M86" s="869">
        <v>80482283</v>
      </c>
      <c r="N86" s="725">
        <f>SUM(B86:M86)</f>
        <v>991453694</v>
      </c>
    </row>
    <row r="87" spans="1:26" ht="13.5" thickBot="1" x14ac:dyDescent="0.25">
      <c r="A87" s="698">
        <v>0.22500000000000001</v>
      </c>
      <c r="B87" s="698">
        <v>0.22500000000000001</v>
      </c>
      <c r="C87" s="698">
        <v>0.22500000000000001</v>
      </c>
      <c r="D87" s="698">
        <v>0.22500000000000001</v>
      </c>
      <c r="E87" s="698">
        <v>0.22500000000000001</v>
      </c>
      <c r="F87" s="698">
        <v>0.22500000000000001</v>
      </c>
      <c r="G87" s="698">
        <v>0.22500000000000001</v>
      </c>
      <c r="H87" s="698">
        <v>0.22500000000000001</v>
      </c>
      <c r="I87" s="698">
        <v>0.22500000000000001</v>
      </c>
      <c r="J87" s="698">
        <v>0.22500000000000001</v>
      </c>
      <c r="K87" s="698">
        <v>0.22500000000000001</v>
      </c>
      <c r="L87" s="698">
        <v>0.22500000000000001</v>
      </c>
      <c r="M87" s="698">
        <v>0.22500000000000001</v>
      </c>
    </row>
    <row r="88" spans="1:26" ht="13.5" thickBot="1" x14ac:dyDescent="0.25">
      <c r="A88" s="692">
        <f t="shared" ref="A88:M88" si="23">A86*A87</f>
        <v>223077081.15000001</v>
      </c>
      <c r="B88" s="692">
        <f t="shared" si="23"/>
        <v>25012617.525000002</v>
      </c>
      <c r="C88" s="692">
        <f t="shared" si="23"/>
        <v>21931568.775000002</v>
      </c>
      <c r="D88" s="692">
        <f t="shared" si="23"/>
        <v>20068509.600000001</v>
      </c>
      <c r="E88" s="692">
        <f t="shared" si="23"/>
        <v>18260157.600000001</v>
      </c>
      <c r="F88" s="692">
        <f t="shared" si="23"/>
        <v>16898248.350000001</v>
      </c>
      <c r="G88" s="692">
        <f t="shared" si="23"/>
        <v>13314765.6</v>
      </c>
      <c r="H88" s="692">
        <f t="shared" si="23"/>
        <v>16749502.65</v>
      </c>
      <c r="I88" s="692">
        <f t="shared" si="23"/>
        <v>17901455.400000002</v>
      </c>
      <c r="J88" s="692">
        <f t="shared" si="23"/>
        <v>19364031.225000001</v>
      </c>
      <c r="K88" s="692">
        <f t="shared" si="23"/>
        <v>13572873.675000001</v>
      </c>
      <c r="L88" s="692">
        <f t="shared" si="23"/>
        <v>21894837.074999999</v>
      </c>
      <c r="M88" s="866">
        <f t="shared" si="23"/>
        <v>18108513.675000001</v>
      </c>
      <c r="N88" s="725">
        <f>SUM(B88:M88)</f>
        <v>223077081.15000001</v>
      </c>
    </row>
    <row r="89" spans="1:26" ht="13.5" thickBot="1" x14ac:dyDescent="0.25">
      <c r="A89" s="704" t="s">
        <v>421</v>
      </c>
    </row>
    <row r="92" spans="1:26" x14ac:dyDescent="0.2">
      <c r="A92" s="1272" t="s">
        <v>385</v>
      </c>
      <c r="B92" s="1272"/>
      <c r="C92" s="1272"/>
      <c r="D92" s="1272"/>
      <c r="E92" s="1272"/>
      <c r="F92" s="1272"/>
      <c r="G92" s="1272"/>
      <c r="H92" s="1272"/>
      <c r="I92" s="1272"/>
      <c r="J92" s="1272"/>
      <c r="K92" s="1272"/>
      <c r="L92" s="1272"/>
      <c r="M92" s="1272"/>
    </row>
    <row r="93" spans="1:26" x14ac:dyDescent="0.2">
      <c r="A93" s="1283" t="s">
        <v>513</v>
      </c>
      <c r="B93" s="1283"/>
      <c r="C93" s="1283"/>
      <c r="D93" s="1283"/>
      <c r="E93" s="1283"/>
      <c r="F93" s="1283"/>
      <c r="G93" s="1283"/>
      <c r="H93" s="1283"/>
      <c r="I93" s="1283"/>
      <c r="J93" s="1283"/>
      <c r="K93" s="1283"/>
      <c r="L93" s="1283"/>
      <c r="M93" s="1283"/>
    </row>
    <row r="94" spans="1:26" ht="13.5" thickBot="1" x14ac:dyDescent="0.25">
      <c r="A94" s="721">
        <f>SUM(B94:M94)</f>
        <v>100</v>
      </c>
      <c r="B94" s="870">
        <f>B96/$A$96*100</f>
        <v>10.867403619831554</v>
      </c>
      <c r="C94" s="870">
        <f t="shared" ref="C94:M94" si="24">C96/$A$96*100</f>
        <v>8.839916472175597</v>
      </c>
      <c r="D94" s="870">
        <f t="shared" si="24"/>
        <v>10.200430293453485</v>
      </c>
      <c r="E94" s="870">
        <f t="shared" si="24"/>
        <v>5.175298283144361</v>
      </c>
      <c r="F94" s="870">
        <f t="shared" si="24"/>
        <v>8.8609185058744497</v>
      </c>
      <c r="G94" s="870">
        <f t="shared" si="24"/>
        <v>6.9016908542204849</v>
      </c>
      <c r="H94" s="870">
        <f t="shared" si="24"/>
        <v>10.841702395524985</v>
      </c>
      <c r="I94" s="870">
        <f t="shared" si="24"/>
        <v>5.8370182146170002</v>
      </c>
      <c r="J94" s="870">
        <f t="shared" si="24"/>
        <v>10.363678096899388</v>
      </c>
      <c r="K94" s="870">
        <f t="shared" si="24"/>
        <v>5.7160862184862697</v>
      </c>
      <c r="L94" s="870">
        <f t="shared" si="24"/>
        <v>9.7141391140536282</v>
      </c>
      <c r="M94" s="870">
        <f t="shared" si="24"/>
        <v>6.6817179317187971</v>
      </c>
    </row>
    <row r="95" spans="1:26" ht="13.5" thickBot="1" x14ac:dyDescent="0.25">
      <c r="A95" s="690" t="s">
        <v>386</v>
      </c>
      <c r="B95" s="690" t="s">
        <v>1</v>
      </c>
      <c r="C95" s="690" t="s">
        <v>2</v>
      </c>
      <c r="D95" s="690" t="s">
        <v>3</v>
      </c>
      <c r="E95" s="690" t="s">
        <v>4</v>
      </c>
      <c r="F95" s="690" t="s">
        <v>5</v>
      </c>
      <c r="G95" s="690" t="s">
        <v>6</v>
      </c>
      <c r="H95" s="690" t="s">
        <v>7</v>
      </c>
      <c r="I95" s="690" t="s">
        <v>8</v>
      </c>
      <c r="J95" s="690" t="s">
        <v>9</v>
      </c>
      <c r="K95" s="690" t="s">
        <v>10</v>
      </c>
      <c r="L95" s="690" t="s">
        <v>11</v>
      </c>
      <c r="M95" s="690" t="s">
        <v>12</v>
      </c>
    </row>
    <row r="96" spans="1:26" ht="13.5" thickBot="1" x14ac:dyDescent="0.25">
      <c r="A96" s="692">
        <f>B96+C96+D96+E96+F96+G96+H96+I96+J96+K96+L96+M96</f>
        <v>8661066</v>
      </c>
      <c r="B96" s="868">
        <v>941233</v>
      </c>
      <c r="C96" s="868">
        <v>765631</v>
      </c>
      <c r="D96" s="868">
        <v>883466</v>
      </c>
      <c r="E96" s="868">
        <v>448236</v>
      </c>
      <c r="F96" s="868">
        <v>767450</v>
      </c>
      <c r="G96" s="868">
        <v>597760</v>
      </c>
      <c r="H96" s="868">
        <v>939007</v>
      </c>
      <c r="I96" s="868">
        <v>505548</v>
      </c>
      <c r="J96" s="868">
        <v>897605</v>
      </c>
      <c r="K96" s="868">
        <v>495074</v>
      </c>
      <c r="L96" s="868">
        <v>841348</v>
      </c>
      <c r="M96" s="869">
        <v>578708</v>
      </c>
      <c r="N96" s="725">
        <f>SUM(B96:M96)</f>
        <v>8661066</v>
      </c>
    </row>
    <row r="97" spans="1:16" ht="13.5" thickBot="1" x14ac:dyDescent="0.25">
      <c r="A97" s="698">
        <v>0.22500000000000001</v>
      </c>
      <c r="B97" s="698">
        <v>0.22500000000000001</v>
      </c>
      <c r="C97" s="698">
        <v>0.22500000000000001</v>
      </c>
      <c r="D97" s="698">
        <v>0.22500000000000001</v>
      </c>
      <c r="E97" s="698">
        <v>0.22500000000000001</v>
      </c>
      <c r="F97" s="698">
        <v>0.22500000000000001</v>
      </c>
      <c r="G97" s="698">
        <v>0.22500000000000001</v>
      </c>
      <c r="H97" s="698">
        <v>0.22500000000000001</v>
      </c>
      <c r="I97" s="698">
        <v>0.22500000000000001</v>
      </c>
      <c r="J97" s="698">
        <v>0.22500000000000001</v>
      </c>
      <c r="K97" s="698">
        <v>0.22500000000000001</v>
      </c>
      <c r="L97" s="698">
        <v>0.22500000000000001</v>
      </c>
      <c r="M97" s="698">
        <v>0.22500000000000001</v>
      </c>
    </row>
    <row r="98" spans="1:16" ht="13.5" thickBot="1" x14ac:dyDescent="0.25">
      <c r="A98" s="692">
        <f t="shared" ref="A98:M98" si="25">A96*A97</f>
        <v>1948739.85</v>
      </c>
      <c r="B98" s="692">
        <f t="shared" si="25"/>
        <v>211777.42500000002</v>
      </c>
      <c r="C98" s="692">
        <f t="shared" si="25"/>
        <v>172266.97500000001</v>
      </c>
      <c r="D98" s="692">
        <f t="shared" si="25"/>
        <v>198779.85</v>
      </c>
      <c r="E98" s="692">
        <f t="shared" si="25"/>
        <v>100853.1</v>
      </c>
      <c r="F98" s="692">
        <f t="shared" si="25"/>
        <v>172676.25</v>
      </c>
      <c r="G98" s="692">
        <f t="shared" si="25"/>
        <v>134496</v>
      </c>
      <c r="H98" s="692">
        <f t="shared" si="25"/>
        <v>211276.57500000001</v>
      </c>
      <c r="I98" s="692">
        <f t="shared" si="25"/>
        <v>113748.3</v>
      </c>
      <c r="J98" s="692">
        <f t="shared" si="25"/>
        <v>201961.125</v>
      </c>
      <c r="K98" s="692">
        <f t="shared" si="25"/>
        <v>111391.65000000001</v>
      </c>
      <c r="L98" s="692">
        <f t="shared" si="25"/>
        <v>189303.30000000002</v>
      </c>
      <c r="M98" s="866">
        <f t="shared" si="25"/>
        <v>130209.3</v>
      </c>
      <c r="N98" s="725">
        <f>SUM(B98:M98)</f>
        <v>1948739.85</v>
      </c>
    </row>
    <row r="99" spans="1:16" ht="13.5" thickBot="1" x14ac:dyDescent="0.25">
      <c r="A99" s="704" t="s">
        <v>421</v>
      </c>
    </row>
    <row r="102" spans="1:16" x14ac:dyDescent="0.2">
      <c r="A102" s="1272" t="s">
        <v>385</v>
      </c>
      <c r="B102" s="1272"/>
      <c r="C102" s="1272"/>
      <c r="D102" s="1272"/>
      <c r="E102" s="1272"/>
      <c r="F102" s="1272"/>
      <c r="G102" s="1272"/>
      <c r="H102" s="1272"/>
      <c r="I102" s="1272"/>
      <c r="J102" s="1272"/>
      <c r="K102" s="1272"/>
      <c r="L102" s="1272"/>
      <c r="M102" s="1272"/>
    </row>
    <row r="103" spans="1:16" x14ac:dyDescent="0.2">
      <c r="A103" s="1283" t="s">
        <v>503</v>
      </c>
      <c r="B103" s="1283"/>
      <c r="C103" s="1283"/>
      <c r="D103" s="1283"/>
      <c r="E103" s="1283"/>
      <c r="F103" s="1283"/>
      <c r="G103" s="1283"/>
      <c r="H103" s="1283"/>
      <c r="I103" s="1283"/>
      <c r="J103" s="1283"/>
      <c r="K103" s="1283"/>
      <c r="L103" s="1283"/>
      <c r="M103" s="1283"/>
    </row>
    <row r="104" spans="1:16" ht="13.5" thickBot="1" x14ac:dyDescent="0.25">
      <c r="A104" s="721">
        <f>SUM(B104:M104)</f>
        <v>100</v>
      </c>
      <c r="B104" s="870">
        <f>B106/$A$106*100</f>
        <v>5.4223776737391498</v>
      </c>
      <c r="C104" s="870">
        <f t="shared" ref="C104:M104" si="26">C106/$A$106*100</f>
        <v>8.1275192990173757</v>
      </c>
      <c r="D104" s="870">
        <f t="shared" si="26"/>
        <v>7.0882321832866957</v>
      </c>
      <c r="E104" s="870">
        <f t="shared" si="26"/>
        <v>8.9723144156649344</v>
      </c>
      <c r="F104" s="870">
        <f t="shared" si="26"/>
        <v>9.6848612215129961</v>
      </c>
      <c r="G104" s="870">
        <f t="shared" si="26"/>
        <v>10.813661017232098</v>
      </c>
      <c r="H104" s="870">
        <f t="shared" si="26"/>
        <v>9.1838914353038472</v>
      </c>
      <c r="I104" s="870">
        <f t="shared" si="26"/>
        <v>7.8143710551334875</v>
      </c>
      <c r="J104" s="870">
        <f t="shared" si="26"/>
        <v>6.7890362056319864</v>
      </c>
      <c r="K104" s="870">
        <f t="shared" si="26"/>
        <v>10.198714364146023</v>
      </c>
      <c r="L104" s="870">
        <f t="shared" si="26"/>
        <v>7.3586655577605935</v>
      </c>
      <c r="M104" s="870">
        <f t="shared" si="26"/>
        <v>8.5463555715708157</v>
      </c>
    </row>
    <row r="105" spans="1:16" ht="13.5" thickBot="1" x14ac:dyDescent="0.25">
      <c r="A105" s="690" t="s">
        <v>386</v>
      </c>
      <c r="B105" s="690" t="s">
        <v>1</v>
      </c>
      <c r="C105" s="690" t="s">
        <v>2</v>
      </c>
      <c r="D105" s="690" t="s">
        <v>3</v>
      </c>
      <c r="E105" s="690" t="s">
        <v>4</v>
      </c>
      <c r="F105" s="690" t="s">
        <v>5</v>
      </c>
      <c r="G105" s="690" t="s">
        <v>6</v>
      </c>
      <c r="H105" s="690" t="s">
        <v>7</v>
      </c>
      <c r="I105" s="690" t="s">
        <v>8</v>
      </c>
      <c r="J105" s="690" t="s">
        <v>9</v>
      </c>
      <c r="K105" s="690" t="s">
        <v>10</v>
      </c>
      <c r="L105" s="690" t="s">
        <v>11</v>
      </c>
      <c r="M105" s="690" t="s">
        <v>12</v>
      </c>
    </row>
    <row r="106" spans="1:16" ht="13.5" thickBot="1" x14ac:dyDescent="0.25">
      <c r="A106" s="692">
        <f>B106+C106+D106+E106+F106+G106+H106+I106+J106+K106+L106+M106</f>
        <v>496112953</v>
      </c>
      <c r="B106" s="868">
        <v>26901118</v>
      </c>
      <c r="C106" s="868">
        <v>40321676</v>
      </c>
      <c r="D106" s="868">
        <v>35165638</v>
      </c>
      <c r="E106" s="868">
        <v>44512814</v>
      </c>
      <c r="F106" s="868">
        <v>48047851</v>
      </c>
      <c r="G106" s="868">
        <v>53647973</v>
      </c>
      <c r="H106" s="868">
        <v>45562475</v>
      </c>
      <c r="I106" s="868">
        <v>38768107</v>
      </c>
      <c r="J106" s="868">
        <v>33681288</v>
      </c>
      <c r="K106" s="868">
        <v>50597143</v>
      </c>
      <c r="L106" s="868">
        <v>36507293</v>
      </c>
      <c r="M106" s="869">
        <v>42399577</v>
      </c>
      <c r="N106" s="725">
        <f>SUM(B106:M106)</f>
        <v>496112953</v>
      </c>
      <c r="P106" s="725">
        <f>N10+N19+N31+N40+N49+N58+N67+N76+N86+N96+N106</f>
        <v>11834070933</v>
      </c>
    </row>
    <row r="107" spans="1:16" ht="13.5" thickBot="1" x14ac:dyDescent="0.25">
      <c r="A107" s="698">
        <v>0.22500000000000001</v>
      </c>
      <c r="B107" s="698">
        <v>0.22500000000000001</v>
      </c>
      <c r="C107" s="698">
        <v>0.22500000000000001</v>
      </c>
      <c r="D107" s="698">
        <v>0.22500000000000001</v>
      </c>
      <c r="E107" s="698">
        <v>0.22500000000000001</v>
      </c>
      <c r="F107" s="698">
        <v>0.22500000000000001</v>
      </c>
      <c r="G107" s="698">
        <v>0.22500000000000001</v>
      </c>
      <c r="H107" s="698">
        <v>0.22500000000000001</v>
      </c>
      <c r="I107" s="698">
        <v>0.22500000000000001</v>
      </c>
      <c r="J107" s="698">
        <v>0.22500000000000001</v>
      </c>
      <c r="K107" s="698">
        <v>0.22500000000000001</v>
      </c>
      <c r="L107" s="698">
        <v>0.22500000000000001</v>
      </c>
      <c r="M107" s="698">
        <v>0.22500000000000001</v>
      </c>
      <c r="N107" s="606"/>
    </row>
    <row r="108" spans="1:16" ht="13.5" thickBot="1" x14ac:dyDescent="0.25">
      <c r="A108" s="692">
        <f t="shared" ref="A108:M108" si="27">A106*A107</f>
        <v>111625414.425</v>
      </c>
      <c r="B108" s="692">
        <f t="shared" si="27"/>
        <v>6052751.5499999998</v>
      </c>
      <c r="C108" s="692">
        <f t="shared" si="27"/>
        <v>9072377.0999999996</v>
      </c>
      <c r="D108" s="692">
        <f t="shared" si="27"/>
        <v>7912268.5499999998</v>
      </c>
      <c r="E108" s="692">
        <f t="shared" si="27"/>
        <v>10015383.15</v>
      </c>
      <c r="F108" s="692">
        <f t="shared" si="27"/>
        <v>10810766.475</v>
      </c>
      <c r="G108" s="692">
        <f t="shared" si="27"/>
        <v>12070793.925000001</v>
      </c>
      <c r="H108" s="692">
        <f t="shared" si="27"/>
        <v>10251556.875</v>
      </c>
      <c r="I108" s="692">
        <f t="shared" si="27"/>
        <v>8722824.0750000011</v>
      </c>
      <c r="J108" s="692">
        <f t="shared" si="27"/>
        <v>7578289.7999999998</v>
      </c>
      <c r="K108" s="692">
        <f t="shared" si="27"/>
        <v>11384357.175000001</v>
      </c>
      <c r="L108" s="692">
        <f t="shared" si="27"/>
        <v>8214140.9249999998</v>
      </c>
      <c r="M108" s="866">
        <f t="shared" si="27"/>
        <v>9539904.8250000011</v>
      </c>
      <c r="N108" s="725">
        <f t="shared" ref="N108" si="28">SUM(B108:M108)</f>
        <v>111625414.425</v>
      </c>
      <c r="P108" s="725">
        <f>N12+N19+N33+N42+N51+N60+N69+N78+N88+N98+N108</f>
        <v>3129037646.3750005</v>
      </c>
    </row>
    <row r="109" spans="1:16" ht="13.5" thickBot="1" x14ac:dyDescent="0.25">
      <c r="A109" s="704" t="s">
        <v>421</v>
      </c>
    </row>
    <row r="113" spans="1:13" x14ac:dyDescent="0.2">
      <c r="A113" s="606">
        <f>A10+A19+A31+A40+A49+A58+A67+A76+A86+A96+A106</f>
        <v>11834070933</v>
      </c>
      <c r="B113" s="606">
        <f t="shared" ref="B113:M113" si="29">B10+B19+B31+B40+B49+B58+B67+B76+B86+B96+B106</f>
        <v>1002832647</v>
      </c>
      <c r="C113" s="606">
        <f t="shared" si="29"/>
        <v>1285401130</v>
      </c>
      <c r="D113" s="606">
        <f t="shared" si="29"/>
        <v>862914114</v>
      </c>
      <c r="E113" s="606">
        <f t="shared" si="29"/>
        <v>1112318497</v>
      </c>
      <c r="F113" s="606">
        <f t="shared" si="29"/>
        <v>1101998676</v>
      </c>
      <c r="G113" s="606">
        <f t="shared" si="29"/>
        <v>1043240197</v>
      </c>
      <c r="H113" s="606">
        <f t="shared" si="29"/>
        <v>1003563833</v>
      </c>
      <c r="I113" s="606">
        <f t="shared" si="29"/>
        <v>963184632</v>
      </c>
      <c r="J113" s="606">
        <f t="shared" si="29"/>
        <v>912029313</v>
      </c>
      <c r="K113" s="606">
        <f t="shared" si="29"/>
        <v>733137125</v>
      </c>
      <c r="L113" s="606">
        <f t="shared" si="29"/>
        <v>900441803</v>
      </c>
      <c r="M113" s="606">
        <f t="shared" si="29"/>
        <v>913008966</v>
      </c>
    </row>
    <row r="114" spans="1:13" x14ac:dyDescent="0.2">
      <c r="A114" s="606">
        <f>SUM(B113:M113)</f>
        <v>11834070933</v>
      </c>
    </row>
    <row r="116" spans="1:13" x14ac:dyDescent="0.2">
      <c r="A116" s="606">
        <f>A12+A19+A33+A42+A51+A60+A69+A78+A88+A98+A108</f>
        <v>3129037646.375001</v>
      </c>
      <c r="B116" s="606">
        <f t="shared" ref="B116:M116" si="30">B12+B19+B33+B42+B51+B60+B69+B78+B88+B98+B108</f>
        <v>263722723.40000007</v>
      </c>
      <c r="C116" s="606">
        <f t="shared" si="30"/>
        <v>343197325.90000004</v>
      </c>
      <c r="D116" s="606">
        <f t="shared" si="30"/>
        <v>227798782.92500001</v>
      </c>
      <c r="E116" s="606">
        <f t="shared" si="30"/>
        <v>293382848.77499998</v>
      </c>
      <c r="F116" s="606">
        <f t="shared" si="30"/>
        <v>293822718.57500005</v>
      </c>
      <c r="G116" s="606">
        <f t="shared" si="30"/>
        <v>278085177.77499998</v>
      </c>
      <c r="H116" s="606">
        <f t="shared" si="30"/>
        <v>263127314</v>
      </c>
      <c r="I116" s="606">
        <f t="shared" si="30"/>
        <v>255524945.42500001</v>
      </c>
      <c r="J116" s="606">
        <f t="shared" si="30"/>
        <v>241231808.57500002</v>
      </c>
      <c r="K116" s="606">
        <f t="shared" si="30"/>
        <v>190253048.95000005</v>
      </c>
      <c r="L116" s="606">
        <f t="shared" si="30"/>
        <v>237402959.97500002</v>
      </c>
      <c r="M116" s="606">
        <f t="shared" si="30"/>
        <v>241487992.10000002</v>
      </c>
    </row>
    <row r="117" spans="1:13" x14ac:dyDescent="0.2">
      <c r="A117" s="597">
        <v>275915905</v>
      </c>
    </row>
    <row r="118" spans="1:13" x14ac:dyDescent="0.2">
      <c r="A118" s="606">
        <f>A116-A117</f>
        <v>2853121741.375001</v>
      </c>
    </row>
  </sheetData>
  <mergeCells count="28">
    <mergeCell ref="A8:M8"/>
    <mergeCell ref="A1:M1"/>
    <mergeCell ref="A2:M2"/>
    <mergeCell ref="A3:M3"/>
    <mergeCell ref="A4:M4"/>
    <mergeCell ref="A5:M5"/>
    <mergeCell ref="A63:M63"/>
    <mergeCell ref="A14:M14"/>
    <mergeCell ref="A15:M15"/>
    <mergeCell ref="A26:M26"/>
    <mergeCell ref="A27:M27"/>
    <mergeCell ref="A35:M35"/>
    <mergeCell ref="A36:M36"/>
    <mergeCell ref="A44:M44"/>
    <mergeCell ref="A45:M45"/>
    <mergeCell ref="A53:M53"/>
    <mergeCell ref="A54:M54"/>
    <mergeCell ref="A62:M62"/>
    <mergeCell ref="A92:M92"/>
    <mergeCell ref="A93:M93"/>
    <mergeCell ref="A102:M102"/>
    <mergeCell ref="A103:M103"/>
    <mergeCell ref="A71:M71"/>
    <mergeCell ref="A72:M72"/>
    <mergeCell ref="A80:M80"/>
    <mergeCell ref="A81:M81"/>
    <mergeCell ref="A82:M82"/>
    <mergeCell ref="A83:M83"/>
  </mergeCells>
  <printOptions horizontalCentered="1"/>
  <pageMargins left="0.78740157480314965" right="0.78740157480314965" top="0.98425196850393704" bottom="0.98425196850393704" header="0" footer="0"/>
  <pageSetup paperSize="5" scale="85"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3" tint="0.79998168889431442"/>
    <pageSetUpPr fitToPage="1"/>
  </sheetPr>
  <dimension ref="B2:N56"/>
  <sheetViews>
    <sheetView zoomScaleNormal="100" workbookViewId="0">
      <selection activeCell="K21" sqref="K21"/>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8"/>
      <c r="C2" s="8"/>
      <c r="D2" s="8"/>
      <c r="F2" s="220"/>
      <c r="G2" s="220" t="s">
        <v>213</v>
      </c>
    </row>
    <row r="3" spans="2:9" x14ac:dyDescent="0.25">
      <c r="B3" s="987" t="s">
        <v>0</v>
      </c>
      <c r="C3" s="987"/>
      <c r="D3" s="987"/>
      <c r="E3" s="987"/>
      <c r="F3" s="987"/>
      <c r="G3" s="987"/>
    </row>
    <row r="4" spans="2:9" x14ac:dyDescent="0.25">
      <c r="B4" s="1286" t="s">
        <v>214</v>
      </c>
      <c r="C4" s="1286"/>
      <c r="D4" s="1286"/>
      <c r="E4" s="1286"/>
      <c r="F4" s="1286"/>
      <c r="G4" s="1286"/>
      <c r="H4" s="239"/>
      <c r="I4" s="239"/>
    </row>
    <row r="5" spans="2:9" ht="15" customHeight="1" x14ac:dyDescent="0.25">
      <c r="B5" s="1287" t="s">
        <v>83</v>
      </c>
      <c r="C5" s="1290" t="s">
        <v>25</v>
      </c>
      <c r="D5" s="86"/>
      <c r="E5" s="1287" t="s">
        <v>26</v>
      </c>
      <c r="F5" s="240"/>
      <c r="G5" s="1287" t="s">
        <v>27</v>
      </c>
    </row>
    <row r="6" spans="2:9" ht="28.5" customHeight="1" x14ac:dyDescent="0.25">
      <c r="B6" s="1288"/>
      <c r="C6" s="1291"/>
      <c r="D6" s="13"/>
      <c r="E6" s="1288"/>
      <c r="F6" s="241"/>
      <c r="G6" s="1288"/>
    </row>
    <row r="7" spans="2:9" x14ac:dyDescent="0.25">
      <c r="B7" s="1288"/>
      <c r="C7" s="13" t="s">
        <v>215</v>
      </c>
      <c r="D7" s="13"/>
      <c r="E7" s="235"/>
      <c r="F7" s="235"/>
      <c r="G7" s="13" t="s">
        <v>41</v>
      </c>
    </row>
    <row r="8" spans="2:9" x14ac:dyDescent="0.25">
      <c r="B8" s="1289"/>
      <c r="C8" s="121" t="s">
        <v>70</v>
      </c>
      <c r="D8" s="121"/>
      <c r="E8" s="242" t="s">
        <v>216</v>
      </c>
      <c r="F8" s="235"/>
      <c r="G8" s="121" t="s">
        <v>217</v>
      </c>
    </row>
    <row r="9" spans="2:9" x14ac:dyDescent="0.25">
      <c r="B9" s="758" t="s">
        <v>45</v>
      </c>
      <c r="C9" s="759">
        <f>K36/H36</f>
        <v>1.1639994332303609</v>
      </c>
      <c r="D9" s="760"/>
      <c r="E9" s="761">
        <f>C9/C$29%</f>
        <v>4.8725557232012191</v>
      </c>
      <c r="F9" s="761">
        <f>E9*0.3</f>
        <v>1.4617667169603656</v>
      </c>
      <c r="G9" s="762">
        <f>Datos!$I$16*'FGP 30%'!E9%</f>
        <v>10367977.931686787</v>
      </c>
      <c r="H9" s="243"/>
      <c r="I9" s="244"/>
    </row>
    <row r="10" spans="2:9" x14ac:dyDescent="0.25">
      <c r="B10" s="763" t="s">
        <v>46</v>
      </c>
      <c r="C10" s="764">
        <f t="shared" ref="C10:C28" si="0">K37/H37</f>
        <v>1.4242737988177827</v>
      </c>
      <c r="D10" s="765"/>
      <c r="E10" s="766">
        <f t="shared" ref="E10:E28" si="1">C10/C$29%</f>
        <v>5.962076313538633</v>
      </c>
      <c r="F10" s="766">
        <f t="shared" ref="F10:F28" si="2">E10*0.3</f>
        <v>1.7886228940615898</v>
      </c>
      <c r="G10" s="369">
        <f>Datos!$I$16*'FGP 30%'!E10%</f>
        <v>12686294.248306606</v>
      </c>
      <c r="H10" s="243"/>
      <c r="I10" s="244"/>
    </row>
    <row r="11" spans="2:9" x14ac:dyDescent="0.25">
      <c r="B11" s="763" t="s">
        <v>47</v>
      </c>
      <c r="C11" s="764">
        <f t="shared" si="0"/>
        <v>0.99429838849357843</v>
      </c>
      <c r="D11" s="765"/>
      <c r="E11" s="766">
        <f t="shared" si="1"/>
        <v>4.1621792632482588</v>
      </c>
      <c r="F11" s="766">
        <f t="shared" si="2"/>
        <v>1.2486537789744776</v>
      </c>
      <c r="G11" s="369">
        <f>Datos!$I$16*'FGP 30%'!E11%</f>
        <v>8856416.4681796581</v>
      </c>
      <c r="H11" s="243"/>
      <c r="I11" s="244"/>
    </row>
    <row r="12" spans="2:9" x14ac:dyDescent="0.25">
      <c r="B12" s="763" t="s">
        <v>48</v>
      </c>
      <c r="C12" s="764">
        <f t="shared" si="0"/>
        <v>1.1191947463560794</v>
      </c>
      <c r="D12" s="765"/>
      <c r="E12" s="766">
        <f t="shared" si="1"/>
        <v>4.6850012216928718</v>
      </c>
      <c r="F12" s="766">
        <f t="shared" si="2"/>
        <v>1.4055003665078616</v>
      </c>
      <c r="G12" s="369">
        <f>Datos!$I$16*'FGP 30%'!E12%</f>
        <v>9968893.5408469215</v>
      </c>
      <c r="H12" s="243"/>
      <c r="I12" s="245"/>
    </row>
    <row r="13" spans="2:9" x14ac:dyDescent="0.25">
      <c r="B13" s="763" t="s">
        <v>49</v>
      </c>
      <c r="C13" s="764">
        <f t="shared" si="0"/>
        <v>1.7875929059373734</v>
      </c>
      <c r="D13" s="765"/>
      <c r="E13" s="766">
        <f t="shared" si="1"/>
        <v>7.4829469808300741</v>
      </c>
      <c r="F13" s="766">
        <f t="shared" si="2"/>
        <v>2.2448840942490222</v>
      </c>
      <c r="G13" s="369">
        <f>Datos!$I$16*'FGP 30%'!E13%</f>
        <v>15922450.879690962</v>
      </c>
      <c r="H13" s="243"/>
      <c r="I13" s="245"/>
    </row>
    <row r="14" spans="2:9" x14ac:dyDescent="0.25">
      <c r="B14" s="763" t="s">
        <v>50</v>
      </c>
      <c r="C14" s="764">
        <f t="shared" si="0"/>
        <v>1.4332638390846772</v>
      </c>
      <c r="D14" s="765"/>
      <c r="E14" s="766">
        <f t="shared" si="1"/>
        <v>5.9997090398989021</v>
      </c>
      <c r="F14" s="766">
        <f t="shared" si="2"/>
        <v>1.7999127119696705</v>
      </c>
      <c r="G14" s="369">
        <f>Datos!$I$16*'FGP 30%'!E14%</f>
        <v>12766370.351809047</v>
      </c>
      <c r="H14" s="243"/>
      <c r="I14" s="244"/>
    </row>
    <row r="15" spans="2:9" x14ac:dyDescent="0.25">
      <c r="B15" s="763" t="s">
        <v>51</v>
      </c>
      <c r="C15" s="764">
        <f t="shared" si="0"/>
        <v>1.1886007441741111</v>
      </c>
      <c r="D15" s="765"/>
      <c r="E15" s="766">
        <f t="shared" si="1"/>
        <v>4.9755379541328546</v>
      </c>
      <c r="F15" s="766">
        <f t="shared" si="2"/>
        <v>1.4926613862398563</v>
      </c>
      <c r="G15" s="369">
        <f>Datos!$I$16*'FGP 30%'!E15%</f>
        <v>10587106.774599966</v>
      </c>
      <c r="H15" s="243"/>
      <c r="I15" s="244"/>
    </row>
    <row r="16" spans="2:9" x14ac:dyDescent="0.25">
      <c r="B16" s="763" t="s">
        <v>52</v>
      </c>
      <c r="C16" s="764">
        <f t="shared" si="0"/>
        <v>1.029682016521158</v>
      </c>
      <c r="D16" s="765"/>
      <c r="E16" s="766">
        <f t="shared" si="1"/>
        <v>4.3102967745901095</v>
      </c>
      <c r="F16" s="766">
        <f t="shared" si="2"/>
        <v>1.2930890323770328</v>
      </c>
      <c r="G16" s="369">
        <f>Datos!$I$16*'FGP 30%'!E16%</f>
        <v>9171585.5860157795</v>
      </c>
      <c r="H16" s="243"/>
      <c r="I16" s="244"/>
    </row>
    <row r="17" spans="2:9" x14ac:dyDescent="0.25">
      <c r="B17" s="763" t="s">
        <v>53</v>
      </c>
      <c r="C17" s="764">
        <f t="shared" si="0"/>
        <v>1.3459962604986673</v>
      </c>
      <c r="D17" s="765"/>
      <c r="E17" s="766">
        <f t="shared" si="1"/>
        <v>5.6344029002652212</v>
      </c>
      <c r="F17" s="766">
        <f t="shared" si="2"/>
        <v>1.6903208700795662</v>
      </c>
      <c r="G17" s="369">
        <f>Datos!$I$16*'FGP 30%'!E17%</f>
        <v>11989060.41238708</v>
      </c>
      <c r="H17" s="243"/>
      <c r="I17" s="244"/>
    </row>
    <row r="18" spans="2:9" x14ac:dyDescent="0.25">
      <c r="B18" s="763" t="s">
        <v>54</v>
      </c>
      <c r="C18" s="764">
        <f t="shared" si="0"/>
        <v>1.2111131616644717</v>
      </c>
      <c r="D18" s="765"/>
      <c r="E18" s="766">
        <f t="shared" si="1"/>
        <v>5.0697759799893873</v>
      </c>
      <c r="F18" s="766">
        <f t="shared" si="2"/>
        <v>1.5209327939968162</v>
      </c>
      <c r="G18" s="369">
        <f>Datos!$I$16*'FGP 30%'!E18%</f>
        <v>10787629.421832895</v>
      </c>
      <c r="H18" s="243"/>
      <c r="I18" s="244"/>
    </row>
    <row r="19" spans="2:9" x14ac:dyDescent="0.25">
      <c r="B19" s="763" t="s">
        <v>55</v>
      </c>
      <c r="C19" s="764">
        <f t="shared" si="0"/>
        <v>1.1809244312789489</v>
      </c>
      <c r="D19" s="765"/>
      <c r="E19" s="766">
        <f t="shared" si="1"/>
        <v>4.9434045516048108</v>
      </c>
      <c r="F19" s="766">
        <f t="shared" si="2"/>
        <v>1.4830213654814433</v>
      </c>
      <c r="G19" s="369">
        <f>Datos!$I$16*'FGP 30%'!E19%</f>
        <v>10518732.306003457</v>
      </c>
      <c r="H19" s="243"/>
      <c r="I19" s="244"/>
    </row>
    <row r="20" spans="2:9" x14ac:dyDescent="0.25">
      <c r="B20" s="763" t="s">
        <v>56</v>
      </c>
      <c r="C20" s="764">
        <f t="shared" si="0"/>
        <v>0.93623233775871528</v>
      </c>
      <c r="D20" s="765"/>
      <c r="E20" s="766">
        <f t="shared" si="1"/>
        <v>3.919112076311015</v>
      </c>
      <c r="F20" s="766">
        <f t="shared" si="2"/>
        <v>1.1757336228933044</v>
      </c>
      <c r="G20" s="369">
        <f>Datos!$I$16*'FGP 30%'!E20%</f>
        <v>8339210.4323240342</v>
      </c>
      <c r="H20" s="243"/>
      <c r="I20" s="244"/>
    </row>
    <row r="21" spans="2:9" x14ac:dyDescent="0.25">
      <c r="B21" s="763" t="s">
        <v>57</v>
      </c>
      <c r="C21" s="764">
        <f t="shared" si="0"/>
        <v>1.2981198935380043</v>
      </c>
      <c r="D21" s="765"/>
      <c r="E21" s="766">
        <f t="shared" si="1"/>
        <v>5.4339902031620495</v>
      </c>
      <c r="F21" s="766">
        <f t="shared" si="2"/>
        <v>1.6301970609486147</v>
      </c>
      <c r="G21" s="369">
        <f>Datos!$I$16*'FGP 30%'!E21%</f>
        <v>11562615.946928948</v>
      </c>
      <c r="H21" s="243"/>
      <c r="I21" s="245"/>
    </row>
    <row r="22" spans="2:9" x14ac:dyDescent="0.25">
      <c r="B22" s="763" t="s">
        <v>58</v>
      </c>
      <c r="C22" s="764">
        <f t="shared" si="0"/>
        <v>1.2611036028724287</v>
      </c>
      <c r="D22" s="765"/>
      <c r="E22" s="766">
        <f t="shared" si="1"/>
        <v>5.279038290141199</v>
      </c>
      <c r="F22" s="766">
        <f t="shared" si="2"/>
        <v>1.5837114870423596</v>
      </c>
      <c r="G22" s="369">
        <f>Datos!$I$16*'FGP 30%'!E22%</f>
        <v>11232904.373385906</v>
      </c>
      <c r="H22" s="243"/>
      <c r="I22" s="244"/>
    </row>
    <row r="23" spans="2:9" x14ac:dyDescent="0.25">
      <c r="B23" s="763" t="s">
        <v>59</v>
      </c>
      <c r="C23" s="764">
        <f t="shared" si="0"/>
        <v>1.3077267919506923</v>
      </c>
      <c r="D23" s="765"/>
      <c r="E23" s="766">
        <f t="shared" si="1"/>
        <v>5.4742051263884699</v>
      </c>
      <c r="F23" s="766">
        <f t="shared" si="2"/>
        <v>1.6422615379165408</v>
      </c>
      <c r="G23" s="369">
        <f>Datos!$I$16*'FGP 30%'!E23%</f>
        <v>11648186.530462896</v>
      </c>
      <c r="H23" s="243"/>
      <c r="I23" s="244"/>
    </row>
    <row r="24" spans="2:9" x14ac:dyDescent="0.25">
      <c r="B24" s="763" t="s">
        <v>60</v>
      </c>
      <c r="C24" s="764">
        <f t="shared" si="0"/>
        <v>1.2211982311219483</v>
      </c>
      <c r="D24" s="765"/>
      <c r="E24" s="766">
        <f t="shared" si="1"/>
        <v>5.1119925494318093</v>
      </c>
      <c r="F24" s="766">
        <f t="shared" si="2"/>
        <v>1.5335977648295427</v>
      </c>
      <c r="G24" s="369">
        <f>Datos!$I$16*'FGP 30%'!E24%</f>
        <v>10877459.171392532</v>
      </c>
      <c r="H24" s="243"/>
      <c r="I24" s="245"/>
    </row>
    <row r="25" spans="2:9" x14ac:dyDescent="0.25">
      <c r="B25" s="763" t="s">
        <v>61</v>
      </c>
      <c r="C25" s="764">
        <f t="shared" si="0"/>
        <v>1.2273234708381608</v>
      </c>
      <c r="D25" s="765"/>
      <c r="E25" s="766">
        <f t="shared" si="1"/>
        <v>5.1376330875482088</v>
      </c>
      <c r="F25" s="766">
        <f t="shared" si="2"/>
        <v>1.5412899262644626</v>
      </c>
      <c r="G25" s="369">
        <f>Datos!$I$16*'FGP 30%'!E25%</f>
        <v>10932017.918064546</v>
      </c>
      <c r="H25" s="243"/>
      <c r="I25" s="244"/>
    </row>
    <row r="26" spans="2:9" x14ac:dyDescent="0.25">
      <c r="B26" s="763" t="s">
        <v>62</v>
      </c>
      <c r="C26" s="764">
        <f t="shared" si="0"/>
        <v>1.0182667179192071</v>
      </c>
      <c r="D26" s="765"/>
      <c r="E26" s="766">
        <f t="shared" si="1"/>
        <v>4.2625118041278611</v>
      </c>
      <c r="F26" s="766">
        <f t="shared" si="2"/>
        <v>1.2787535412383584</v>
      </c>
      <c r="G26" s="369">
        <f>Datos!$I$16*'FGP 30%'!E26%</f>
        <v>9069907.216929134</v>
      </c>
      <c r="H26" s="243"/>
      <c r="I26" s="245"/>
    </row>
    <row r="27" spans="2:9" x14ac:dyDescent="0.25">
      <c r="B27" s="763" t="s">
        <v>63</v>
      </c>
      <c r="C27" s="764">
        <f t="shared" si="0"/>
        <v>0.66051843868259097</v>
      </c>
      <c r="D27" s="765"/>
      <c r="E27" s="766">
        <f t="shared" si="1"/>
        <v>2.7649608812531552</v>
      </c>
      <c r="F27" s="766">
        <f t="shared" si="2"/>
        <v>0.82948826437594658</v>
      </c>
      <c r="G27" s="369">
        <f>Datos!$I$16*'FGP 30%'!E27%</f>
        <v>5883371.0740974359</v>
      </c>
      <c r="H27" s="243"/>
      <c r="I27" s="244"/>
    </row>
    <row r="28" spans="2:9" x14ac:dyDescent="0.25">
      <c r="B28" s="767" t="s">
        <v>64</v>
      </c>
      <c r="C28" s="768">
        <f t="shared" si="0"/>
        <v>1.0794598929371146</v>
      </c>
      <c r="D28" s="769"/>
      <c r="E28" s="770">
        <f t="shared" si="1"/>
        <v>4.5186692786438734</v>
      </c>
      <c r="F28" s="770">
        <f t="shared" si="2"/>
        <v>1.3556007835931621</v>
      </c>
      <c r="G28" s="771">
        <f>Datos!$I$16*'FGP 30%'!E28%</f>
        <v>9614967.1800553817</v>
      </c>
      <c r="H28" s="246"/>
      <c r="I28" s="244"/>
    </row>
    <row r="29" spans="2:9" x14ac:dyDescent="0.25">
      <c r="B29" s="127" t="s">
        <v>65</v>
      </c>
      <c r="C29" s="247">
        <f t="shared" ref="C29:E29" si="3">SUM(C9:C28)</f>
        <v>23.888889103676075</v>
      </c>
      <c r="D29" s="248"/>
      <c r="E29" s="249">
        <f t="shared" si="3"/>
        <v>99.999999999999972</v>
      </c>
      <c r="F29" s="250">
        <f>SUM(F9:F28)</f>
        <v>29.999999999999993</v>
      </c>
      <c r="G29" s="251">
        <f>SUM(G9:G28)</f>
        <v>212783157.76499996</v>
      </c>
    </row>
    <row r="30" spans="2:9" x14ac:dyDescent="0.25">
      <c r="B30" s="8"/>
      <c r="C30" s="8"/>
      <c r="D30" s="8"/>
    </row>
    <row r="31" spans="2:9" x14ac:dyDescent="0.25">
      <c r="B31" s="8" t="s">
        <v>196</v>
      </c>
      <c r="C31" s="8"/>
      <c r="D31" s="8"/>
    </row>
    <row r="33" spans="2:14" ht="15.75" thickBot="1" x14ac:dyDescent="0.3"/>
    <row r="34" spans="2:14" x14ac:dyDescent="0.25">
      <c r="B34" s="1187" t="s">
        <v>13</v>
      </c>
      <c r="C34" s="224"/>
      <c r="D34" s="223"/>
      <c r="E34" s="223"/>
      <c r="F34" s="1250">
        <v>2019</v>
      </c>
      <c r="G34" s="1251"/>
      <c r="H34" s="1285"/>
      <c r="I34" s="1250">
        <v>2020</v>
      </c>
      <c r="J34" s="1251"/>
      <c r="K34" s="1252"/>
      <c r="L34" s="57"/>
      <c r="M34" s="57"/>
      <c r="N34" s="57"/>
    </row>
    <row r="35" spans="2:14" ht="15.75" thickBot="1" x14ac:dyDescent="0.3">
      <c r="B35" s="1187"/>
      <c r="C35" s="221"/>
      <c r="D35" s="221"/>
      <c r="E35" s="221"/>
      <c r="F35" s="159" t="s">
        <v>262</v>
      </c>
      <c r="G35" s="155" t="s">
        <v>270</v>
      </c>
      <c r="H35" s="155" t="s">
        <v>82</v>
      </c>
      <c r="I35" s="159" t="s">
        <v>262</v>
      </c>
      <c r="J35" s="155" t="s">
        <v>270</v>
      </c>
      <c r="K35" s="418" t="s">
        <v>82</v>
      </c>
      <c r="L35" s="57"/>
      <c r="M35" s="57"/>
      <c r="N35" s="57"/>
    </row>
    <row r="36" spans="2:14" x14ac:dyDescent="0.25">
      <c r="B36" s="32" t="s">
        <v>146</v>
      </c>
      <c r="C36" s="214"/>
      <c r="D36" s="32"/>
      <c r="E36" s="34"/>
      <c r="F36" s="752">
        <f>'Predial y Agua'!B9</f>
        <v>3500020</v>
      </c>
      <c r="G36" s="746">
        <f>'Predial y Agua'!C9</f>
        <v>6941612</v>
      </c>
      <c r="H36" s="747">
        <f t="shared" ref="H36:H55" si="4">F36+G36</f>
        <v>10441632</v>
      </c>
      <c r="I36" s="752">
        <f>'Predial y Agua'!E9</f>
        <v>3428296.17</v>
      </c>
      <c r="J36" s="746">
        <f>'Predial y Agua'!F9</f>
        <v>8725757.5600000005</v>
      </c>
      <c r="K36" s="747">
        <f t="shared" ref="K36:K55" si="5">I36+J36</f>
        <v>12154053.73</v>
      </c>
    </row>
    <row r="37" spans="2:14" x14ac:dyDescent="0.25">
      <c r="B37" s="32" t="s">
        <v>147</v>
      </c>
      <c r="C37" s="214"/>
      <c r="D37" s="32"/>
      <c r="E37" s="34"/>
      <c r="F37" s="753">
        <f>'Predial y Agua'!B10</f>
        <v>2231357</v>
      </c>
      <c r="G37" s="513">
        <f>'Predial y Agua'!C10</f>
        <v>2601257</v>
      </c>
      <c r="H37" s="748">
        <f t="shared" si="4"/>
        <v>4832614</v>
      </c>
      <c r="I37" s="753">
        <f>'Predial y Agua'!E10</f>
        <v>3406773.3</v>
      </c>
      <c r="J37" s="513">
        <f>'Predial y Agua'!F10</f>
        <v>3476192.2</v>
      </c>
      <c r="K37" s="748">
        <f t="shared" si="5"/>
        <v>6882965.5</v>
      </c>
    </row>
    <row r="38" spans="2:14" x14ac:dyDescent="0.25">
      <c r="B38" s="32" t="s">
        <v>148</v>
      </c>
      <c r="C38" s="214"/>
      <c r="D38" s="32"/>
      <c r="E38" s="34"/>
      <c r="F38" s="753">
        <f>'Predial y Agua'!B11</f>
        <v>1912426</v>
      </c>
      <c r="G38" s="513">
        <f>'Predial y Agua'!C11</f>
        <v>1459326</v>
      </c>
      <c r="H38" s="748">
        <f t="shared" si="4"/>
        <v>3371752</v>
      </c>
      <c r="I38" s="753">
        <f>'Predial y Agua'!E11</f>
        <v>2083457.21</v>
      </c>
      <c r="J38" s="513">
        <f>'Predial y Agua'!F11</f>
        <v>1269070.3700000001</v>
      </c>
      <c r="K38" s="748">
        <f t="shared" si="5"/>
        <v>3352527.58</v>
      </c>
    </row>
    <row r="39" spans="2:14" x14ac:dyDescent="0.25">
      <c r="B39" s="32" t="s">
        <v>149</v>
      </c>
      <c r="C39" s="214"/>
      <c r="D39" s="32"/>
      <c r="E39" s="34"/>
      <c r="F39" s="753">
        <f>'Predial y Agua'!B12</f>
        <v>169582223</v>
      </c>
      <c r="G39" s="513">
        <f>'Predial y Agua'!C12</f>
        <v>131052008</v>
      </c>
      <c r="H39" s="748">
        <f t="shared" si="4"/>
        <v>300634231</v>
      </c>
      <c r="I39" s="753">
        <f>'Predial y Agua'!E12</f>
        <v>183471756.25</v>
      </c>
      <c r="J39" s="513">
        <f>'Predial y Agua'!F12</f>
        <v>152996495.66</v>
      </c>
      <c r="K39" s="748">
        <f t="shared" si="5"/>
        <v>336468251.90999997</v>
      </c>
    </row>
    <row r="40" spans="2:14" x14ac:dyDescent="0.25">
      <c r="B40" s="32" t="s">
        <v>150</v>
      </c>
      <c r="C40" s="214"/>
      <c r="D40" s="32"/>
      <c r="E40" s="34"/>
      <c r="F40" s="753">
        <f>'Predial y Agua'!B13</f>
        <v>21796786</v>
      </c>
      <c r="G40" s="513">
        <f>'Predial y Agua'!C13</f>
        <v>11480958</v>
      </c>
      <c r="H40" s="748">
        <f t="shared" si="4"/>
        <v>33277744</v>
      </c>
      <c r="I40" s="753">
        <f>'Predial y Agua'!E13</f>
        <v>22835524.52</v>
      </c>
      <c r="J40" s="513">
        <f>'Predial y Agua'!F13</f>
        <v>36651534.579999998</v>
      </c>
      <c r="K40" s="748">
        <f t="shared" si="5"/>
        <v>59487059.099999994</v>
      </c>
    </row>
    <row r="41" spans="2:14" x14ac:dyDescent="0.25">
      <c r="B41" s="32" t="s">
        <v>151</v>
      </c>
      <c r="C41" s="214"/>
      <c r="D41" s="32"/>
      <c r="E41" s="34"/>
      <c r="F41" s="753">
        <f>'Predial y Agua'!B14</f>
        <v>20358</v>
      </c>
      <c r="G41" s="513">
        <f>'Predial y Agua'!C14</f>
        <v>99556</v>
      </c>
      <c r="H41" s="748">
        <f t="shared" si="4"/>
        <v>119914</v>
      </c>
      <c r="I41" s="753">
        <f>'Predial y Agua'!E14</f>
        <v>38491.81</v>
      </c>
      <c r="J41" s="513">
        <f>'Predial y Agua'!F14</f>
        <v>133376.59</v>
      </c>
      <c r="K41" s="748">
        <f t="shared" si="5"/>
        <v>171868.4</v>
      </c>
    </row>
    <row r="42" spans="2:14" x14ac:dyDescent="0.25">
      <c r="B42" s="32" t="s">
        <v>152</v>
      </c>
      <c r="C42" s="214"/>
      <c r="D42" s="32"/>
      <c r="E42" s="34"/>
      <c r="F42" s="753">
        <f>'Predial y Agua'!B15</f>
        <v>17488</v>
      </c>
      <c r="G42" s="513">
        <f>'Predial y Agua'!C15</f>
        <v>107214</v>
      </c>
      <c r="H42" s="748">
        <f t="shared" si="4"/>
        <v>124702</v>
      </c>
      <c r="I42" s="753">
        <f>'Predial y Agua'!E15</f>
        <v>13226.89</v>
      </c>
      <c r="J42" s="513">
        <f>'Predial y Agua'!F15</f>
        <v>134994</v>
      </c>
      <c r="K42" s="748">
        <f t="shared" si="5"/>
        <v>148220.89000000001</v>
      </c>
    </row>
    <row r="43" spans="2:14" x14ac:dyDescent="0.25">
      <c r="B43" s="32" t="s">
        <v>153</v>
      </c>
      <c r="C43" s="214"/>
      <c r="D43" s="32"/>
      <c r="E43" s="34"/>
      <c r="F43" s="753">
        <f>'Predial y Agua'!B16</f>
        <v>5542908</v>
      </c>
      <c r="G43" s="513">
        <f>'Predial y Agua'!C16</f>
        <v>7301470</v>
      </c>
      <c r="H43" s="748">
        <f t="shared" si="4"/>
        <v>12844378</v>
      </c>
      <c r="I43" s="753">
        <f>'Predial y Agua'!E16</f>
        <v>6600442.2699999996</v>
      </c>
      <c r="J43" s="513">
        <f>'Predial y Agua'!F16</f>
        <v>6625182.7699999996</v>
      </c>
      <c r="K43" s="748">
        <f t="shared" si="5"/>
        <v>13225625.039999999</v>
      </c>
    </row>
    <row r="44" spans="2:14" x14ac:dyDescent="0.25">
      <c r="B44" s="32" t="s">
        <v>154</v>
      </c>
      <c r="C44" s="214"/>
      <c r="D44" s="32"/>
      <c r="E44" s="34"/>
      <c r="F44" s="753">
        <f>'Predial y Agua'!B17</f>
        <v>1764752</v>
      </c>
      <c r="G44" s="513">
        <f>'Predial y Agua'!C17</f>
        <v>2015966</v>
      </c>
      <c r="H44" s="748">
        <f t="shared" si="4"/>
        <v>3780718</v>
      </c>
      <c r="I44" s="753">
        <f>'Predial y Agua'!E17</f>
        <v>2157750.75</v>
      </c>
      <c r="J44" s="513">
        <f>'Predial y Agua'!F17</f>
        <v>2931081.54</v>
      </c>
      <c r="K44" s="748">
        <f t="shared" si="5"/>
        <v>5088832.29</v>
      </c>
    </row>
    <row r="45" spans="2:14" x14ac:dyDescent="0.25">
      <c r="B45" s="32" t="s">
        <v>155</v>
      </c>
      <c r="C45" s="214"/>
      <c r="D45" s="32"/>
      <c r="E45" s="34"/>
      <c r="F45" s="753">
        <f>'Predial y Agua'!B18</f>
        <v>318086</v>
      </c>
      <c r="G45" s="513">
        <f>'Predial y Agua'!C18</f>
        <v>374410</v>
      </c>
      <c r="H45" s="748">
        <f t="shared" si="4"/>
        <v>692496</v>
      </c>
      <c r="I45" s="753">
        <f>'Predial y Agua'!E18</f>
        <v>515300</v>
      </c>
      <c r="J45" s="513">
        <f>'Predial y Agua'!F18</f>
        <v>323391.02</v>
      </c>
      <c r="K45" s="748">
        <f t="shared" si="5"/>
        <v>838691.02</v>
      </c>
    </row>
    <row r="46" spans="2:14" x14ac:dyDescent="0.25">
      <c r="B46" s="32" t="s">
        <v>156</v>
      </c>
      <c r="C46" s="214"/>
      <c r="D46" s="32"/>
      <c r="E46" s="34"/>
      <c r="F46" s="753">
        <f>'Predial y Agua'!B19</f>
        <v>1417918</v>
      </c>
      <c r="G46" s="513">
        <f>'Predial y Agua'!C19</f>
        <v>980270</v>
      </c>
      <c r="H46" s="748">
        <f t="shared" si="4"/>
        <v>2398188</v>
      </c>
      <c r="I46" s="753">
        <f>'Predial y Agua'!E19</f>
        <v>1688702.38</v>
      </c>
      <c r="J46" s="513">
        <f>'Predial y Agua'!F19</f>
        <v>1143376.42</v>
      </c>
      <c r="K46" s="748">
        <f t="shared" si="5"/>
        <v>2832078.8</v>
      </c>
    </row>
    <row r="47" spans="2:14" x14ac:dyDescent="0.25">
      <c r="B47" s="32" t="s">
        <v>157</v>
      </c>
      <c r="C47" s="214"/>
      <c r="D47" s="32"/>
      <c r="E47" s="34"/>
      <c r="F47" s="753">
        <f>'Predial y Agua'!B20</f>
        <v>626941</v>
      </c>
      <c r="G47" s="513">
        <f>'Predial y Agua'!C20</f>
        <v>2735104</v>
      </c>
      <c r="H47" s="748">
        <f t="shared" si="4"/>
        <v>3362045</v>
      </c>
      <c r="I47" s="753">
        <f>'Predial y Agua'!E20</f>
        <v>710503.91</v>
      </c>
      <c r="J47" s="513">
        <f>'Predial y Agua'!F20</f>
        <v>2437151.34</v>
      </c>
      <c r="K47" s="748">
        <f t="shared" si="5"/>
        <v>3147655.25</v>
      </c>
    </row>
    <row r="48" spans="2:14" x14ac:dyDescent="0.25">
      <c r="B48" s="32" t="s">
        <v>158</v>
      </c>
      <c r="C48" s="214"/>
      <c r="D48" s="32"/>
      <c r="E48" s="34"/>
      <c r="F48" s="753">
        <f>'Predial y Agua'!B21</f>
        <v>1675643</v>
      </c>
      <c r="G48" s="513">
        <f>'Predial y Agua'!C21</f>
        <v>3365029</v>
      </c>
      <c r="H48" s="748">
        <f t="shared" si="4"/>
        <v>5040672</v>
      </c>
      <c r="I48" s="753">
        <f>'Predial y Agua'!E21</f>
        <v>2970266.37</v>
      </c>
      <c r="J48" s="513">
        <f>'Predial y Agua'!F21</f>
        <v>3573130.23</v>
      </c>
      <c r="K48" s="748">
        <f t="shared" si="5"/>
        <v>6543396.5999999996</v>
      </c>
    </row>
    <row r="49" spans="2:11" x14ac:dyDescent="0.25">
      <c r="B49" s="32" t="s">
        <v>159</v>
      </c>
      <c r="C49" s="214"/>
      <c r="D49" s="32"/>
      <c r="E49" s="34"/>
      <c r="F49" s="753">
        <f>'Predial y Agua'!B22</f>
        <v>876244</v>
      </c>
      <c r="G49" s="513">
        <f>'Predial y Agua'!C22</f>
        <v>971948</v>
      </c>
      <c r="H49" s="748">
        <f t="shared" si="4"/>
        <v>1848192</v>
      </c>
      <c r="I49" s="753">
        <f>'Predial y Agua'!E22</f>
        <v>1014174.46</v>
      </c>
      <c r="J49" s="513">
        <f>'Predial y Agua'!F22</f>
        <v>1316587.1299999999</v>
      </c>
      <c r="K49" s="748">
        <f t="shared" si="5"/>
        <v>2330761.59</v>
      </c>
    </row>
    <row r="50" spans="2:11" x14ac:dyDescent="0.25">
      <c r="B50" s="32" t="s">
        <v>160</v>
      </c>
      <c r="C50" s="214"/>
      <c r="D50" s="32"/>
      <c r="E50" s="34"/>
      <c r="F50" s="753">
        <f>'Predial y Agua'!B23</f>
        <v>2025415</v>
      </c>
      <c r="G50" s="513">
        <f>'Predial y Agua'!C23</f>
        <v>1257153</v>
      </c>
      <c r="H50" s="748">
        <f t="shared" si="4"/>
        <v>3282568</v>
      </c>
      <c r="I50" s="753">
        <f>'Predial y Agua'!E23</f>
        <v>2915271.78</v>
      </c>
      <c r="J50" s="513">
        <f>'Predial y Agua'!F23</f>
        <v>1377430.34</v>
      </c>
      <c r="K50" s="748">
        <f t="shared" si="5"/>
        <v>4292702.12</v>
      </c>
    </row>
    <row r="51" spans="2:11" x14ac:dyDescent="0.25">
      <c r="B51" s="32" t="s">
        <v>161</v>
      </c>
      <c r="C51" s="214"/>
      <c r="D51" s="32"/>
      <c r="E51" s="34"/>
      <c r="F51" s="753">
        <f>'Predial y Agua'!B24</f>
        <v>3730437</v>
      </c>
      <c r="G51" s="513">
        <f>'Predial y Agua'!C24</f>
        <v>12851147</v>
      </c>
      <c r="H51" s="748">
        <f t="shared" si="4"/>
        <v>16581584</v>
      </c>
      <c r="I51" s="753">
        <f>'Predial y Agua'!E24</f>
        <v>5373173.21</v>
      </c>
      <c r="J51" s="513">
        <f>'Predial y Agua'!F24</f>
        <v>14876227.84</v>
      </c>
      <c r="K51" s="748">
        <f t="shared" si="5"/>
        <v>20249401.050000001</v>
      </c>
    </row>
    <row r="52" spans="2:11" x14ac:dyDescent="0.25">
      <c r="B52" s="32" t="s">
        <v>162</v>
      </c>
      <c r="C52" s="214"/>
      <c r="D52" s="32"/>
      <c r="E52" s="34"/>
      <c r="F52" s="753">
        <f>'Predial y Agua'!B25</f>
        <v>2622915</v>
      </c>
      <c r="G52" s="513">
        <f>'Predial y Agua'!C25</f>
        <v>2551570</v>
      </c>
      <c r="H52" s="748">
        <f t="shared" si="4"/>
        <v>5174485</v>
      </c>
      <c r="I52" s="753">
        <f>'Predial y Agua'!E25</f>
        <v>4197224.25</v>
      </c>
      <c r="J52" s="513">
        <f>'Predial y Agua'!F25</f>
        <v>2153542.64</v>
      </c>
      <c r="K52" s="748">
        <f t="shared" si="5"/>
        <v>6350766.8900000006</v>
      </c>
    </row>
    <row r="53" spans="2:11" s="254" customFormat="1" x14ac:dyDescent="0.25">
      <c r="B53" s="252" t="s">
        <v>163</v>
      </c>
      <c r="C53" s="253"/>
      <c r="D53" s="252"/>
      <c r="E53" s="751"/>
      <c r="F53" s="753">
        <f>'Predial y Agua'!B26</f>
        <v>79416828</v>
      </c>
      <c r="G53" s="513">
        <f>'Predial y Agua'!C26</f>
        <v>187103945</v>
      </c>
      <c r="H53" s="748">
        <f t="shared" si="4"/>
        <v>266520773</v>
      </c>
      <c r="I53" s="753">
        <f>'Predial y Agua'!E26</f>
        <v>83092270.290000007</v>
      </c>
      <c r="J53" s="513">
        <f>'Predial y Agua'!F26</f>
        <v>188296962.49000001</v>
      </c>
      <c r="K53" s="748">
        <f t="shared" si="5"/>
        <v>271389232.78000003</v>
      </c>
    </row>
    <row r="54" spans="2:11" x14ac:dyDescent="0.25">
      <c r="B54" s="32" t="s">
        <v>164</v>
      </c>
      <c r="C54" s="214"/>
      <c r="D54" s="32"/>
      <c r="E54" s="34"/>
      <c r="F54" s="753">
        <f>'Predial y Agua'!B27</f>
        <v>1362858</v>
      </c>
      <c r="G54" s="513">
        <f>'Predial y Agua'!C27</f>
        <v>2539590</v>
      </c>
      <c r="H54" s="748">
        <f t="shared" si="4"/>
        <v>3902448</v>
      </c>
      <c r="I54" s="753">
        <f>'Predial y Agua'!E27</f>
        <v>1556664.93</v>
      </c>
      <c r="J54" s="513">
        <f>'Predial y Agua'!F27</f>
        <v>1020973.93</v>
      </c>
      <c r="K54" s="748">
        <f t="shared" si="5"/>
        <v>2577638.86</v>
      </c>
    </row>
    <row r="55" spans="2:11" ht="15.75" thickBot="1" x14ac:dyDescent="0.3">
      <c r="B55" s="32" t="s">
        <v>165</v>
      </c>
      <c r="C55" s="214"/>
      <c r="D55" s="32"/>
      <c r="E55" s="34"/>
      <c r="F55" s="754">
        <f>'Predial y Agua'!B28</f>
        <v>10916077</v>
      </c>
      <c r="G55" s="749">
        <f>'Predial y Agua'!C28</f>
        <v>29210060</v>
      </c>
      <c r="H55" s="750">
        <f t="shared" si="4"/>
        <v>40126137</v>
      </c>
      <c r="I55" s="754">
        <f>'Predial y Agua'!E28</f>
        <v>15142198.689999999</v>
      </c>
      <c r="J55" s="749">
        <f>'Predial y Agua'!F28</f>
        <v>28172356.859999999</v>
      </c>
      <c r="K55" s="750">
        <f t="shared" si="5"/>
        <v>43314555.549999997</v>
      </c>
    </row>
    <row r="56" spans="2:11" ht="15.75" thickBot="1" x14ac:dyDescent="0.3">
      <c r="B56" s="127" t="s">
        <v>65</v>
      </c>
      <c r="C56" s="214"/>
      <c r="D56" s="214"/>
      <c r="E56" s="755"/>
      <c r="F56" s="756">
        <f>SUM(F36:F55)</f>
        <v>311357680</v>
      </c>
      <c r="G56" s="756">
        <f>SUM(G36:G55)</f>
        <v>406999593</v>
      </c>
      <c r="H56" s="757">
        <f>SUM(H36:H55)</f>
        <v>718357273</v>
      </c>
      <c r="I56" s="756">
        <f>SUM(I36:I55)</f>
        <v>343211469.44000006</v>
      </c>
      <c r="J56" s="756">
        <f>SUM(J36:J55)</f>
        <v>457634815.51000005</v>
      </c>
      <c r="K56" s="756">
        <f>I56+J56</f>
        <v>800846284.95000005</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8"/>
      <c r="C2" s="8"/>
      <c r="D2" s="8"/>
      <c r="E2" s="8"/>
      <c r="F2" s="8"/>
      <c r="G2" s="8"/>
      <c r="H2" s="8"/>
      <c r="I2" s="8"/>
      <c r="J2" s="8"/>
      <c r="K2" s="57"/>
      <c r="L2" s="57"/>
      <c r="M2" s="220" t="s">
        <v>218</v>
      </c>
      <c r="N2" s="8"/>
      <c r="O2" s="8"/>
      <c r="P2" s="8"/>
      <c r="Q2" s="8"/>
      <c r="R2" s="8"/>
      <c r="S2" s="8"/>
      <c r="T2" s="8"/>
      <c r="U2" s="8"/>
    </row>
    <row r="3" spans="2:21" x14ac:dyDescent="0.25">
      <c r="B3" s="987" t="s">
        <v>0</v>
      </c>
      <c r="C3" s="987"/>
      <c r="D3" s="987"/>
      <c r="E3" s="987"/>
      <c r="F3" s="987"/>
      <c r="G3" s="987"/>
      <c r="H3" s="987"/>
      <c r="I3" s="987"/>
      <c r="J3" s="987"/>
      <c r="K3" s="987"/>
      <c r="L3" s="987"/>
      <c r="M3" s="987"/>
      <c r="N3" s="8"/>
      <c r="O3" s="8"/>
      <c r="P3" s="8"/>
      <c r="Q3" s="8"/>
      <c r="R3" s="8"/>
      <c r="S3" s="8"/>
      <c r="T3" s="8"/>
      <c r="U3" s="8"/>
    </row>
    <row r="4" spans="2:21" ht="15.75" thickBot="1" x14ac:dyDescent="0.3">
      <c r="B4" s="1063" t="s">
        <v>219</v>
      </c>
      <c r="C4" s="1063"/>
      <c r="D4" s="1063"/>
      <c r="E4" s="1063"/>
      <c r="F4" s="1063"/>
      <c r="G4" s="1063"/>
      <c r="H4" s="1063"/>
      <c r="I4" s="1063"/>
      <c r="J4" s="1063"/>
      <c r="K4" s="1063"/>
      <c r="L4" s="1063"/>
      <c r="M4" s="1063"/>
      <c r="N4" s="8"/>
      <c r="O4" s="8"/>
      <c r="P4" s="8"/>
      <c r="Q4" s="8"/>
      <c r="R4" s="8"/>
      <c r="S4" s="8"/>
      <c r="T4" s="8"/>
      <c r="U4" s="8"/>
    </row>
    <row r="5" spans="2:21" x14ac:dyDescent="0.25">
      <c r="B5" s="1294" t="s">
        <v>83</v>
      </c>
      <c r="C5" s="1296" t="s">
        <v>220</v>
      </c>
      <c r="D5" s="1296"/>
      <c r="E5" s="1296" t="s">
        <v>221</v>
      </c>
      <c r="F5" s="1296"/>
      <c r="G5" s="255" t="s">
        <v>222</v>
      </c>
      <c r="H5" s="255" t="s">
        <v>137</v>
      </c>
      <c r="I5" s="256"/>
      <c r="J5" s="256"/>
      <c r="K5" s="256" t="s">
        <v>29</v>
      </c>
      <c r="L5" s="256" t="s">
        <v>22</v>
      </c>
      <c r="M5" s="257" t="s">
        <v>82</v>
      </c>
      <c r="N5" s="129"/>
      <c r="O5" s="129"/>
      <c r="P5" s="129"/>
      <c r="Q5" s="135"/>
      <c r="R5" s="8"/>
      <c r="S5" s="8"/>
      <c r="T5" s="8"/>
      <c r="U5" s="8"/>
    </row>
    <row r="6" spans="2:21" x14ac:dyDescent="0.25">
      <c r="B6" s="1295"/>
      <c r="C6" s="1187" t="s">
        <v>69</v>
      </c>
      <c r="D6" s="1187"/>
      <c r="E6" s="1297" t="s">
        <v>132</v>
      </c>
      <c r="F6" s="1297"/>
      <c r="G6" s="235" t="s">
        <v>223</v>
      </c>
      <c r="H6" s="235" t="s">
        <v>224</v>
      </c>
      <c r="I6" s="258"/>
      <c r="J6" s="258"/>
      <c r="K6" s="258" t="s">
        <v>35</v>
      </c>
      <c r="L6" s="258" t="s">
        <v>225</v>
      </c>
      <c r="M6" s="259" t="s">
        <v>226</v>
      </c>
      <c r="N6" s="129"/>
      <c r="O6" s="129"/>
      <c r="P6" s="129"/>
      <c r="Q6" s="135"/>
      <c r="R6" s="8"/>
      <c r="S6" s="99"/>
      <c r="T6" s="260"/>
      <c r="U6" s="8"/>
    </row>
    <row r="7" spans="2:21" x14ac:dyDescent="0.25">
      <c r="B7" s="1295"/>
      <c r="C7" s="225" t="s">
        <v>137</v>
      </c>
      <c r="D7" s="225" t="s">
        <v>227</v>
      </c>
      <c r="E7" s="221" t="s">
        <v>137</v>
      </c>
      <c r="F7" s="221" t="s">
        <v>228</v>
      </c>
      <c r="G7" s="235"/>
      <c r="H7" s="235" t="s">
        <v>229</v>
      </c>
      <c r="I7" s="258"/>
      <c r="J7" s="258"/>
      <c r="K7" s="258" t="s">
        <v>43</v>
      </c>
      <c r="L7" s="258" t="s">
        <v>42</v>
      </c>
      <c r="M7" s="259" t="s">
        <v>230</v>
      </c>
      <c r="N7" s="129"/>
      <c r="O7" s="129"/>
      <c r="P7" s="129"/>
      <c r="Q7" s="135"/>
      <c r="R7" s="8"/>
      <c r="S7" s="99"/>
      <c r="T7" s="260"/>
      <c r="U7" s="8"/>
    </row>
    <row r="8" spans="2:21" x14ac:dyDescent="0.25">
      <c r="B8" s="1295"/>
      <c r="C8" s="261" t="s">
        <v>231</v>
      </c>
      <c r="D8" s="261" t="s">
        <v>97</v>
      </c>
      <c r="E8" s="261" t="s">
        <v>71</v>
      </c>
      <c r="F8" s="261" t="s">
        <v>98</v>
      </c>
      <c r="G8" s="262" t="s">
        <v>145</v>
      </c>
      <c r="H8" s="262" t="s">
        <v>100</v>
      </c>
      <c r="I8" s="263"/>
      <c r="J8" s="263"/>
      <c r="K8" s="264"/>
      <c r="L8" s="264"/>
      <c r="M8" s="265"/>
      <c r="N8" s="8"/>
      <c r="O8" s="8"/>
      <c r="P8" s="8"/>
      <c r="Q8" s="8"/>
      <c r="R8" s="8"/>
      <c r="S8" s="99"/>
      <c r="T8" s="260"/>
      <c r="U8" s="8"/>
    </row>
    <row r="9" spans="2:21" x14ac:dyDescent="0.25">
      <c r="B9" s="132" t="s">
        <v>45</v>
      </c>
      <c r="C9" s="266" t="e">
        <f>#REF!</f>
        <v>#REF!</v>
      </c>
      <c r="D9" s="237" t="e">
        <f>#REF!</f>
        <v>#REF!</v>
      </c>
      <c r="E9" s="144">
        <v>6.3423828522887202</v>
      </c>
      <c r="F9" s="102">
        <f>'FGP 30%'!G9</f>
        <v>10367977.931686787</v>
      </c>
      <c r="G9" s="124" t="e">
        <f t="shared" ref="G9:G28" si="0">D9+F9</f>
        <v>#REF!</v>
      </c>
      <c r="H9" s="236" t="e">
        <f>G9/G$29%</f>
        <v>#REF!</v>
      </c>
      <c r="I9" s="305">
        <v>212240.17867414959</v>
      </c>
      <c r="J9" s="267" t="e">
        <f>I9-G9</f>
        <v>#REF!</v>
      </c>
      <c r="K9" s="268" t="e">
        <f>J9-H9</f>
        <v>#REF!</v>
      </c>
      <c r="L9" s="269" t="e">
        <f>K9/K$29*100</f>
        <v>#REF!</v>
      </c>
      <c r="M9" s="270" t="e">
        <f>D9+F9+K9</f>
        <v>#REF!</v>
      </c>
      <c r="N9" s="260"/>
      <c r="O9" s="260"/>
      <c r="P9" s="260"/>
      <c r="Q9" s="260"/>
      <c r="R9" s="260"/>
      <c r="S9" s="99"/>
      <c r="T9" s="260"/>
      <c r="U9" s="271"/>
    </row>
    <row r="10" spans="2:21" x14ac:dyDescent="0.25">
      <c r="B10" s="132" t="s">
        <v>46</v>
      </c>
      <c r="C10" s="266" t="e">
        <f>#REF!</f>
        <v>#REF!</v>
      </c>
      <c r="D10" s="237" t="e">
        <f>#REF!</f>
        <v>#REF!</v>
      </c>
      <c r="E10" s="144">
        <v>4.8747369734108545</v>
      </c>
      <c r="F10" s="102">
        <f>'FGP 30%'!G10</f>
        <v>12686294.248306606</v>
      </c>
      <c r="G10" s="126" t="e">
        <f t="shared" si="0"/>
        <v>#REF!</v>
      </c>
      <c r="H10" s="143" t="e">
        <f t="shared" ref="H10:H28" si="1">G10/G$29%</f>
        <v>#REF!</v>
      </c>
      <c r="I10" s="305">
        <v>145867.37344216814</v>
      </c>
      <c r="J10" s="267" t="e">
        <f t="shared" ref="J10:K28" si="2">I10-G10</f>
        <v>#REF!</v>
      </c>
      <c r="K10" s="268" t="e">
        <f t="shared" si="2"/>
        <v>#REF!</v>
      </c>
      <c r="L10" s="269" t="e">
        <f t="shared" ref="L10:L28" si="3">K10/K$29*100</f>
        <v>#REF!</v>
      </c>
      <c r="M10" s="272" t="e">
        <f t="shared" ref="M10:M28" si="4">D10+F10+K10</f>
        <v>#REF!</v>
      </c>
      <c r="N10" s="260"/>
      <c r="O10" s="260"/>
      <c r="P10" s="260"/>
      <c r="Q10" s="260"/>
      <c r="R10" s="260"/>
      <c r="S10" s="99"/>
      <c r="T10" s="260"/>
      <c r="U10" s="271"/>
    </row>
    <row r="11" spans="2:21" x14ac:dyDescent="0.25">
      <c r="B11" s="132" t="s">
        <v>47</v>
      </c>
      <c r="C11" s="266" t="e">
        <f>#REF!</f>
        <v>#REF!</v>
      </c>
      <c r="D11" s="237" t="e">
        <f>#REF!</f>
        <v>#REF!</v>
      </c>
      <c r="E11" s="144">
        <v>3.9787441024444163</v>
      </c>
      <c r="F11" s="102">
        <f>'FGP 30%'!G11</f>
        <v>8856416.4681796581</v>
      </c>
      <c r="G11" s="126" t="e">
        <f t="shared" si="0"/>
        <v>#REF!</v>
      </c>
      <c r="H11" s="143" t="e">
        <f t="shared" si="1"/>
        <v>#REF!</v>
      </c>
      <c r="I11" s="305">
        <v>130448.22525879936</v>
      </c>
      <c r="J11" s="267" t="e">
        <f t="shared" si="2"/>
        <v>#REF!</v>
      </c>
      <c r="K11" s="268" t="e">
        <f t="shared" si="2"/>
        <v>#REF!</v>
      </c>
      <c r="L11" s="269" t="e">
        <f t="shared" si="3"/>
        <v>#REF!</v>
      </c>
      <c r="M11" s="272" t="e">
        <f t="shared" si="4"/>
        <v>#REF!</v>
      </c>
      <c r="N11" s="260"/>
      <c r="O11" s="260"/>
      <c r="P11" s="260"/>
      <c r="Q11" s="260"/>
      <c r="R11" s="260"/>
      <c r="S11" s="99"/>
      <c r="T11" s="260"/>
      <c r="U11" s="271"/>
    </row>
    <row r="12" spans="2:21" x14ac:dyDescent="0.25">
      <c r="B12" s="132" t="s">
        <v>48</v>
      </c>
      <c r="C12" s="266" t="e">
        <f>#REF!</f>
        <v>#REF!</v>
      </c>
      <c r="D12" s="237" t="e">
        <f>#REF!</f>
        <v>#REF!</v>
      </c>
      <c r="E12" s="144">
        <v>4.7794922547559926</v>
      </c>
      <c r="F12" s="102">
        <f>'FGP 30%'!G12</f>
        <v>9968893.5408469215</v>
      </c>
      <c r="G12" s="126" t="e">
        <f t="shared" si="0"/>
        <v>#REF!</v>
      </c>
      <c r="H12" s="143" t="e">
        <f t="shared" si="1"/>
        <v>#REF!</v>
      </c>
      <c r="I12" s="305">
        <v>417649.23433316802</v>
      </c>
      <c r="J12" s="267" t="e">
        <f t="shared" si="2"/>
        <v>#REF!</v>
      </c>
      <c r="K12" s="268" t="e">
        <f t="shared" si="2"/>
        <v>#REF!</v>
      </c>
      <c r="L12" s="269" t="e">
        <f t="shared" si="3"/>
        <v>#REF!</v>
      </c>
      <c r="M12" s="272" t="e">
        <f t="shared" si="4"/>
        <v>#REF!</v>
      </c>
      <c r="N12" s="260"/>
      <c r="O12" s="260"/>
      <c r="P12" s="271"/>
      <c r="Q12" s="260"/>
      <c r="R12" s="271"/>
      <c r="S12" s="99"/>
      <c r="T12" s="260"/>
      <c r="U12" s="271"/>
    </row>
    <row r="13" spans="2:21" x14ac:dyDescent="0.25">
      <c r="B13" s="132" t="s">
        <v>49</v>
      </c>
      <c r="C13" s="266" t="e">
        <f>#REF!</f>
        <v>#REF!</v>
      </c>
      <c r="D13" s="237" t="e">
        <f>#REF!</f>
        <v>#REF!</v>
      </c>
      <c r="E13" s="144">
        <v>4.8396147698123535</v>
      </c>
      <c r="F13" s="102">
        <f>'FGP 30%'!G13</f>
        <v>15922450.879690962</v>
      </c>
      <c r="G13" s="126" t="e">
        <f t="shared" si="0"/>
        <v>#REF!</v>
      </c>
      <c r="H13" s="143" t="e">
        <f t="shared" si="1"/>
        <v>#REF!</v>
      </c>
      <c r="I13" s="305">
        <v>277064.87231006427</v>
      </c>
      <c r="J13" s="267" t="e">
        <f t="shared" si="2"/>
        <v>#REF!</v>
      </c>
      <c r="K13" s="268" t="e">
        <f t="shared" si="2"/>
        <v>#REF!</v>
      </c>
      <c r="L13" s="269" t="e">
        <f t="shared" si="3"/>
        <v>#REF!</v>
      </c>
      <c r="M13" s="272" t="e">
        <f t="shared" si="4"/>
        <v>#REF!</v>
      </c>
      <c r="N13" s="260"/>
      <c r="O13" s="260"/>
      <c r="P13" s="260"/>
      <c r="Q13" s="260"/>
      <c r="R13" s="260"/>
      <c r="S13" s="99"/>
      <c r="T13" s="260"/>
      <c r="U13" s="271"/>
    </row>
    <row r="14" spans="2:21" x14ac:dyDescent="0.25">
      <c r="B14" s="132" t="s">
        <v>50</v>
      </c>
      <c r="C14" s="266" t="e">
        <f>#REF!</f>
        <v>#REF!</v>
      </c>
      <c r="D14" s="237" t="e">
        <f>#REF!</f>
        <v>#REF!</v>
      </c>
      <c r="E14" s="144">
        <v>4.8859352991166247</v>
      </c>
      <c r="F14" s="102">
        <f>'FGP 30%'!G14</f>
        <v>12766370.351809047</v>
      </c>
      <c r="G14" s="126" t="e">
        <f t="shared" si="0"/>
        <v>#REF!</v>
      </c>
      <c r="H14" s="143" t="e">
        <f t="shared" si="1"/>
        <v>#REF!</v>
      </c>
      <c r="I14" s="305">
        <v>187736.37714703428</v>
      </c>
      <c r="J14" s="267" t="e">
        <f t="shared" si="2"/>
        <v>#REF!</v>
      </c>
      <c r="K14" s="268" t="e">
        <f t="shared" si="2"/>
        <v>#REF!</v>
      </c>
      <c r="L14" s="269" t="e">
        <f t="shared" si="3"/>
        <v>#REF!</v>
      </c>
      <c r="M14" s="272" t="e">
        <f t="shared" si="4"/>
        <v>#REF!</v>
      </c>
      <c r="N14" s="260"/>
      <c r="O14" s="260"/>
      <c r="P14" s="260"/>
      <c r="Q14" s="260"/>
      <c r="R14" s="260"/>
      <c r="S14" s="99"/>
      <c r="T14" s="260"/>
      <c r="U14" s="271"/>
    </row>
    <row r="15" spans="2:21" x14ac:dyDescent="0.25">
      <c r="B15" s="132" t="s">
        <v>51</v>
      </c>
      <c r="C15" s="266" t="e">
        <f>#REF!</f>
        <v>#REF!</v>
      </c>
      <c r="D15" s="237" t="e">
        <f>#REF!</f>
        <v>#REF!</v>
      </c>
      <c r="E15" s="144">
        <v>4.009568855684738</v>
      </c>
      <c r="F15" s="102">
        <f>'FGP 30%'!G15</f>
        <v>10587106.774599966</v>
      </c>
      <c r="G15" s="126" t="e">
        <f t="shared" si="0"/>
        <v>#REF!</v>
      </c>
      <c r="H15" s="143" t="e">
        <f t="shared" si="1"/>
        <v>#REF!</v>
      </c>
      <c r="I15" s="305">
        <v>131008.64234565338</v>
      </c>
      <c r="J15" s="267" t="e">
        <f t="shared" si="2"/>
        <v>#REF!</v>
      </c>
      <c r="K15" s="268" t="e">
        <f t="shared" si="2"/>
        <v>#REF!</v>
      </c>
      <c r="L15" s="269" t="e">
        <f t="shared" si="3"/>
        <v>#REF!</v>
      </c>
      <c r="M15" s="272" t="e">
        <f t="shared" si="4"/>
        <v>#REF!</v>
      </c>
      <c r="N15" s="260"/>
      <c r="O15" s="260"/>
      <c r="P15" s="260"/>
      <c r="Q15" s="260"/>
      <c r="R15" s="260"/>
      <c r="S15" s="99"/>
      <c r="T15" s="260"/>
      <c r="U15" s="271"/>
    </row>
    <row r="16" spans="2:21" x14ac:dyDescent="0.25">
      <c r="B16" s="132" t="s">
        <v>52</v>
      </c>
      <c r="C16" s="266" t="e">
        <f>#REF!</f>
        <v>#REF!</v>
      </c>
      <c r="D16" s="237" t="e">
        <f>#REF!</f>
        <v>#REF!</v>
      </c>
      <c r="E16" s="144">
        <v>7.5369203970102321</v>
      </c>
      <c r="F16" s="102">
        <f>'FGP 30%'!G16</f>
        <v>9171585.5860157795</v>
      </c>
      <c r="G16" s="126" t="e">
        <f t="shared" si="0"/>
        <v>#REF!</v>
      </c>
      <c r="H16" s="143" t="e">
        <f t="shared" si="1"/>
        <v>#REF!</v>
      </c>
      <c r="I16" s="305">
        <v>205355.35681466889</v>
      </c>
      <c r="J16" s="267" t="e">
        <f t="shared" si="2"/>
        <v>#REF!</v>
      </c>
      <c r="K16" s="268" t="e">
        <f t="shared" si="2"/>
        <v>#REF!</v>
      </c>
      <c r="L16" s="269" t="e">
        <f t="shared" si="3"/>
        <v>#REF!</v>
      </c>
      <c r="M16" s="272" t="e">
        <f t="shared" si="4"/>
        <v>#REF!</v>
      </c>
      <c r="N16" s="260"/>
      <c r="O16" s="260"/>
      <c r="P16" s="260"/>
      <c r="Q16" s="260"/>
      <c r="R16" s="260"/>
      <c r="S16" s="99"/>
      <c r="T16" s="260"/>
      <c r="U16" s="271"/>
    </row>
    <row r="17" spans="2:21" x14ac:dyDescent="0.25">
      <c r="B17" s="132" t="s">
        <v>53</v>
      </c>
      <c r="C17" s="266" t="e">
        <f>#REF!</f>
        <v>#REF!</v>
      </c>
      <c r="D17" s="237" t="e">
        <f>#REF!</f>
        <v>#REF!</v>
      </c>
      <c r="E17" s="144">
        <v>5.9361538809380185</v>
      </c>
      <c r="F17" s="102">
        <f>'FGP 30%'!G17</f>
        <v>11989060.41238708</v>
      </c>
      <c r="G17" s="126" t="e">
        <f t="shared" si="0"/>
        <v>#REF!</v>
      </c>
      <c r="H17" s="143" t="e">
        <f t="shared" si="1"/>
        <v>#REF!</v>
      </c>
      <c r="I17" s="305">
        <v>162912.99120529165</v>
      </c>
      <c r="J17" s="267" t="e">
        <f t="shared" si="2"/>
        <v>#REF!</v>
      </c>
      <c r="K17" s="268" t="e">
        <f t="shared" si="2"/>
        <v>#REF!</v>
      </c>
      <c r="L17" s="269" t="e">
        <f t="shared" si="3"/>
        <v>#REF!</v>
      </c>
      <c r="M17" s="272" t="e">
        <f t="shared" si="4"/>
        <v>#REF!</v>
      </c>
      <c r="N17" s="260"/>
      <c r="O17" s="260"/>
      <c r="P17" s="260"/>
      <c r="Q17" s="260"/>
      <c r="R17" s="260"/>
      <c r="S17" s="99"/>
      <c r="T17" s="260"/>
      <c r="U17" s="271"/>
    </row>
    <row r="18" spans="2:21" x14ac:dyDescent="0.25">
      <c r="B18" s="132" t="s">
        <v>54</v>
      </c>
      <c r="C18" s="266" t="e">
        <f>#REF!</f>
        <v>#REF!</v>
      </c>
      <c r="D18" s="237" t="e">
        <f>#REF!</f>
        <v>#REF!</v>
      </c>
      <c r="E18" s="144">
        <v>4.8230792844533079</v>
      </c>
      <c r="F18" s="102">
        <f>'FGP 30%'!G18</f>
        <v>10787629.421832895</v>
      </c>
      <c r="G18" s="126" t="e">
        <f t="shared" si="0"/>
        <v>#REF!</v>
      </c>
      <c r="H18" s="143" t="e">
        <f t="shared" si="1"/>
        <v>#REF!</v>
      </c>
      <c r="I18" s="305">
        <v>142227.96010683011</v>
      </c>
      <c r="J18" s="267" t="e">
        <f t="shared" si="2"/>
        <v>#REF!</v>
      </c>
      <c r="K18" s="268" t="e">
        <f t="shared" si="2"/>
        <v>#REF!</v>
      </c>
      <c r="L18" s="269" t="e">
        <f t="shared" si="3"/>
        <v>#REF!</v>
      </c>
      <c r="M18" s="272" t="e">
        <f t="shared" si="4"/>
        <v>#REF!</v>
      </c>
      <c r="N18" s="260"/>
      <c r="O18" s="260"/>
      <c r="P18" s="260"/>
      <c r="Q18" s="260"/>
      <c r="R18" s="260"/>
      <c r="S18" s="99"/>
      <c r="T18" s="260"/>
      <c r="U18" s="271"/>
    </row>
    <row r="19" spans="2:21" x14ac:dyDescent="0.25">
      <c r="B19" s="132" t="s">
        <v>55</v>
      </c>
      <c r="C19" s="266" t="e">
        <f>#REF!</f>
        <v>#REF!</v>
      </c>
      <c r="D19" s="237" t="e">
        <f>#REF!</f>
        <v>#REF!</v>
      </c>
      <c r="E19" s="144">
        <v>4.1063513873665975</v>
      </c>
      <c r="F19" s="102">
        <f>'FGP 30%'!G19</f>
        <v>10518732.306003457</v>
      </c>
      <c r="G19" s="126" t="e">
        <f t="shared" si="0"/>
        <v>#REF!</v>
      </c>
      <c r="H19" s="143" t="e">
        <f t="shared" si="1"/>
        <v>#REF!</v>
      </c>
      <c r="I19" s="305">
        <v>178100.70770568217</v>
      </c>
      <c r="J19" s="267" t="e">
        <f t="shared" si="2"/>
        <v>#REF!</v>
      </c>
      <c r="K19" s="268" t="e">
        <f t="shared" si="2"/>
        <v>#REF!</v>
      </c>
      <c r="L19" s="269" t="e">
        <f t="shared" si="3"/>
        <v>#REF!</v>
      </c>
      <c r="M19" s="272" t="e">
        <f t="shared" si="4"/>
        <v>#REF!</v>
      </c>
      <c r="N19" s="260"/>
      <c r="O19" s="260"/>
      <c r="P19" s="260"/>
      <c r="Q19" s="260"/>
      <c r="R19" s="260"/>
      <c r="S19" s="99"/>
      <c r="T19" s="260"/>
      <c r="U19" s="271"/>
    </row>
    <row r="20" spans="2:21" x14ac:dyDescent="0.25">
      <c r="B20" s="132" t="s">
        <v>56</v>
      </c>
      <c r="C20" s="266" t="e">
        <f>#REF!</f>
        <v>#REF!</v>
      </c>
      <c r="D20" s="237" t="e">
        <f>#REF!</f>
        <v>#REF!</v>
      </c>
      <c r="E20" s="144">
        <v>5.2077346983143604</v>
      </c>
      <c r="F20" s="102">
        <f>'FGP 30%'!G20</f>
        <v>8339210.4323240342</v>
      </c>
      <c r="G20" s="126" t="e">
        <f t="shared" si="0"/>
        <v>#REF!</v>
      </c>
      <c r="H20" s="143" t="e">
        <f t="shared" si="1"/>
        <v>#REF!</v>
      </c>
      <c r="I20" s="305">
        <v>166912.25078355873</v>
      </c>
      <c r="J20" s="267" t="e">
        <f t="shared" si="2"/>
        <v>#REF!</v>
      </c>
      <c r="K20" s="268" t="e">
        <f t="shared" si="2"/>
        <v>#REF!</v>
      </c>
      <c r="L20" s="269" t="e">
        <f t="shared" si="3"/>
        <v>#REF!</v>
      </c>
      <c r="M20" s="272" t="e">
        <f t="shared" si="4"/>
        <v>#REF!</v>
      </c>
      <c r="N20" s="260"/>
      <c r="O20" s="260"/>
      <c r="P20" s="260"/>
      <c r="Q20" s="260"/>
      <c r="R20" s="260"/>
      <c r="S20" s="99"/>
      <c r="T20" s="260"/>
      <c r="U20" s="260"/>
    </row>
    <row r="21" spans="2:21" x14ac:dyDescent="0.25">
      <c r="B21" s="132" t="s">
        <v>57</v>
      </c>
      <c r="C21" s="266" t="e">
        <f>#REF!</f>
        <v>#REF!</v>
      </c>
      <c r="D21" s="237" t="e">
        <f>#REF!</f>
        <v>#REF!</v>
      </c>
      <c r="E21" s="144">
        <v>4.8186763914888475</v>
      </c>
      <c r="F21" s="102">
        <f>'FGP 30%'!G21</f>
        <v>11562615.946928948</v>
      </c>
      <c r="G21" s="126" t="e">
        <f t="shared" si="0"/>
        <v>#REF!</v>
      </c>
      <c r="H21" s="143" t="e">
        <f t="shared" si="1"/>
        <v>#REF!</v>
      </c>
      <c r="I21" s="305">
        <v>208036.45988467679</v>
      </c>
      <c r="J21" s="267" t="e">
        <f t="shared" si="2"/>
        <v>#REF!</v>
      </c>
      <c r="K21" s="268" t="e">
        <f t="shared" si="2"/>
        <v>#REF!</v>
      </c>
      <c r="L21" s="269" t="e">
        <f t="shared" si="3"/>
        <v>#REF!</v>
      </c>
      <c r="M21" s="272" t="e">
        <f t="shared" si="4"/>
        <v>#REF!</v>
      </c>
      <c r="N21" s="260"/>
      <c r="O21" s="260"/>
      <c r="P21" s="260"/>
      <c r="Q21" s="260"/>
      <c r="R21" s="260"/>
      <c r="S21" s="99"/>
      <c r="T21" s="260"/>
      <c r="U21" s="260"/>
    </row>
    <row r="22" spans="2:21" x14ac:dyDescent="0.25">
      <c r="B22" s="132" t="s">
        <v>58</v>
      </c>
      <c r="C22" s="266" t="e">
        <f>#REF!</f>
        <v>#REF!</v>
      </c>
      <c r="D22" s="237" t="e">
        <f>#REF!</f>
        <v>#REF!</v>
      </c>
      <c r="E22" s="144">
        <v>2.9110739805529704</v>
      </c>
      <c r="F22" s="102">
        <f>'FGP 30%'!G22</f>
        <v>11232904.373385906</v>
      </c>
      <c r="G22" s="126" t="e">
        <f t="shared" si="0"/>
        <v>#REF!</v>
      </c>
      <c r="H22" s="143" t="e">
        <f t="shared" si="1"/>
        <v>#REF!</v>
      </c>
      <c r="I22" s="305">
        <v>121434.25160385661</v>
      </c>
      <c r="J22" s="267" t="e">
        <f t="shared" si="2"/>
        <v>#REF!</v>
      </c>
      <c r="K22" s="268" t="e">
        <f t="shared" si="2"/>
        <v>#REF!</v>
      </c>
      <c r="L22" s="269" t="e">
        <f t="shared" si="3"/>
        <v>#REF!</v>
      </c>
      <c r="M22" s="272" t="e">
        <f t="shared" si="4"/>
        <v>#REF!</v>
      </c>
      <c r="N22" s="260"/>
      <c r="O22" s="260"/>
      <c r="P22" s="260"/>
      <c r="Q22" s="260"/>
      <c r="R22" s="260"/>
      <c r="S22" s="99"/>
      <c r="T22" s="260"/>
      <c r="U22" s="271"/>
    </row>
    <row r="23" spans="2:21" x14ac:dyDescent="0.25">
      <c r="B23" s="132" t="s">
        <v>59</v>
      </c>
      <c r="C23" s="266" t="e">
        <f>#REF!</f>
        <v>#REF!</v>
      </c>
      <c r="D23" s="237" t="e">
        <f>#REF!</f>
        <v>#REF!</v>
      </c>
      <c r="E23" s="144">
        <v>4.3304906658341711</v>
      </c>
      <c r="F23" s="102">
        <f>'FGP 30%'!G23</f>
        <v>11648186.530462896</v>
      </c>
      <c r="G23" s="126" t="e">
        <f t="shared" si="0"/>
        <v>#REF!</v>
      </c>
      <c r="H23" s="143" t="e">
        <f t="shared" si="1"/>
        <v>#REF!</v>
      </c>
      <c r="I23" s="305">
        <v>154393.13551406987</v>
      </c>
      <c r="J23" s="267" t="e">
        <f t="shared" si="2"/>
        <v>#REF!</v>
      </c>
      <c r="K23" s="268" t="e">
        <f t="shared" si="2"/>
        <v>#REF!</v>
      </c>
      <c r="L23" s="269" t="e">
        <f t="shared" si="3"/>
        <v>#REF!</v>
      </c>
      <c r="M23" s="272" t="e">
        <f t="shared" si="4"/>
        <v>#REF!</v>
      </c>
      <c r="N23" s="260"/>
      <c r="O23" s="260"/>
      <c r="P23" s="260"/>
      <c r="Q23" s="260"/>
      <c r="R23" s="260"/>
      <c r="S23" s="99"/>
      <c r="T23" s="260"/>
      <c r="U23" s="271"/>
    </row>
    <row r="24" spans="2:21" x14ac:dyDescent="0.25">
      <c r="B24" s="132" t="s">
        <v>60</v>
      </c>
      <c r="C24" s="266" t="e">
        <f>#REF!</f>
        <v>#REF!</v>
      </c>
      <c r="D24" s="237" t="e">
        <f>#REF!</f>
        <v>#REF!</v>
      </c>
      <c r="E24" s="144">
        <v>5.3086882085256404</v>
      </c>
      <c r="F24" s="102">
        <f>'FGP 30%'!G24</f>
        <v>10877459.171392532</v>
      </c>
      <c r="G24" s="126" t="e">
        <f t="shared" si="0"/>
        <v>#REF!</v>
      </c>
      <c r="H24" s="143" t="e">
        <f t="shared" si="1"/>
        <v>#REF!</v>
      </c>
      <c r="I24" s="305">
        <v>342815.93253579823</v>
      </c>
      <c r="J24" s="267" t="e">
        <f t="shared" si="2"/>
        <v>#REF!</v>
      </c>
      <c r="K24" s="268" t="e">
        <f t="shared" si="2"/>
        <v>#REF!</v>
      </c>
      <c r="L24" s="269" t="e">
        <f t="shared" si="3"/>
        <v>#REF!</v>
      </c>
      <c r="M24" s="272" t="e">
        <f t="shared" si="4"/>
        <v>#REF!</v>
      </c>
      <c r="N24" s="260"/>
      <c r="O24" s="260"/>
      <c r="P24" s="260"/>
      <c r="Q24" s="260"/>
      <c r="R24" s="271"/>
      <c r="S24" s="99"/>
      <c r="T24" s="260"/>
      <c r="U24" s="260"/>
    </row>
    <row r="25" spans="2:21" x14ac:dyDescent="0.25">
      <c r="B25" s="132" t="s">
        <v>61</v>
      </c>
      <c r="C25" s="266" t="e">
        <f>#REF!</f>
        <v>#REF!</v>
      </c>
      <c r="D25" s="237" t="e">
        <f>#REF!</f>
        <v>#REF!</v>
      </c>
      <c r="E25" s="144">
        <v>4.864796565169633</v>
      </c>
      <c r="F25" s="102">
        <f>'FGP 30%'!G25</f>
        <v>10932017.918064546</v>
      </c>
      <c r="G25" s="126" t="e">
        <f t="shared" si="0"/>
        <v>#REF!</v>
      </c>
      <c r="H25" s="143" t="e">
        <f t="shared" si="1"/>
        <v>#REF!</v>
      </c>
      <c r="I25" s="305">
        <v>200479.78722284615</v>
      </c>
      <c r="J25" s="267" t="e">
        <f t="shared" si="2"/>
        <v>#REF!</v>
      </c>
      <c r="K25" s="268" t="e">
        <f t="shared" si="2"/>
        <v>#REF!</v>
      </c>
      <c r="L25" s="269" t="e">
        <f t="shared" si="3"/>
        <v>#REF!</v>
      </c>
      <c r="M25" s="272" t="e">
        <f t="shared" si="4"/>
        <v>#REF!</v>
      </c>
      <c r="N25" s="260"/>
      <c r="O25" s="260"/>
      <c r="P25" s="260"/>
      <c r="Q25" s="260"/>
      <c r="R25" s="260"/>
      <c r="S25" s="99"/>
      <c r="T25" s="260"/>
      <c r="U25" s="271"/>
    </row>
    <row r="26" spans="2:21" x14ac:dyDescent="0.25">
      <c r="B26" s="132" t="s">
        <v>62</v>
      </c>
      <c r="C26" s="266" t="e">
        <f>#REF!</f>
        <v>#REF!</v>
      </c>
      <c r="D26" s="237" t="e">
        <f>#REF!</f>
        <v>#REF!</v>
      </c>
      <c r="E26" s="144">
        <v>5.7978942563195188</v>
      </c>
      <c r="F26" s="102">
        <f>'FGP 30%'!G26</f>
        <v>9069907.216929134</v>
      </c>
      <c r="G26" s="126" t="e">
        <f t="shared" si="0"/>
        <v>#REF!</v>
      </c>
      <c r="H26" s="273" t="e">
        <f t="shared" si="1"/>
        <v>#REF!</v>
      </c>
      <c r="I26" s="305">
        <v>1123889.5444337416</v>
      </c>
      <c r="J26" s="267" t="e">
        <f t="shared" si="2"/>
        <v>#REF!</v>
      </c>
      <c r="K26" s="268" t="e">
        <f t="shared" si="2"/>
        <v>#REF!</v>
      </c>
      <c r="L26" s="269" t="e">
        <f t="shared" si="3"/>
        <v>#REF!</v>
      </c>
      <c r="M26" s="272" t="e">
        <f t="shared" si="4"/>
        <v>#REF!</v>
      </c>
      <c r="N26" s="260"/>
      <c r="O26" s="260"/>
      <c r="P26" s="271"/>
      <c r="Q26" s="260"/>
      <c r="R26" s="271"/>
      <c r="S26" s="99"/>
      <c r="T26" s="260"/>
      <c r="U26" s="260"/>
    </row>
    <row r="27" spans="2:21" x14ac:dyDescent="0.25">
      <c r="B27" s="132" t="s">
        <v>63</v>
      </c>
      <c r="C27" s="266" t="e">
        <f>#REF!</f>
        <v>#REF!</v>
      </c>
      <c r="D27" s="237" t="e">
        <f>#REF!</f>
        <v>#REF!</v>
      </c>
      <c r="E27" s="144">
        <v>4.8271447622480794</v>
      </c>
      <c r="F27" s="102">
        <f>'FGP 30%'!G27</f>
        <v>5883371.0740974359</v>
      </c>
      <c r="G27" s="126" t="e">
        <f t="shared" si="0"/>
        <v>#REF!</v>
      </c>
      <c r="H27" s="143" t="e">
        <f t="shared" si="1"/>
        <v>#REF!</v>
      </c>
      <c r="I27" s="305">
        <v>177060.44640841757</v>
      </c>
      <c r="J27" s="267" t="e">
        <f t="shared" si="2"/>
        <v>#REF!</v>
      </c>
      <c r="K27" s="268" t="e">
        <f t="shared" si="2"/>
        <v>#REF!</v>
      </c>
      <c r="L27" s="269" t="e">
        <f t="shared" si="3"/>
        <v>#REF!</v>
      </c>
      <c r="M27" s="272" t="e">
        <f t="shared" si="4"/>
        <v>#REF!</v>
      </c>
      <c r="N27" s="260"/>
      <c r="O27" s="260"/>
      <c r="P27" s="260"/>
      <c r="Q27" s="260"/>
      <c r="R27" s="260"/>
      <c r="S27" s="99"/>
      <c r="T27" s="260"/>
      <c r="U27" s="260"/>
    </row>
    <row r="28" spans="2:21" ht="15.75" thickBot="1" x14ac:dyDescent="0.3">
      <c r="B28" s="133" t="s">
        <v>64</v>
      </c>
      <c r="C28" s="274" t="e">
        <f>#REF!</f>
        <v>#REF!</v>
      </c>
      <c r="D28" s="275" t="e">
        <f>#REF!</f>
        <v>#REF!</v>
      </c>
      <c r="E28" s="276">
        <v>5.8205204142649469</v>
      </c>
      <c r="F28" s="277">
        <f>'FGP 30%'!G28</f>
        <v>9614967.1800553817</v>
      </c>
      <c r="G28" s="278" t="e">
        <f t="shared" si="0"/>
        <v>#REF!</v>
      </c>
      <c r="H28" s="279" t="e">
        <f t="shared" si="1"/>
        <v>#REF!</v>
      </c>
      <c r="I28" s="306">
        <v>236350.17226942629</v>
      </c>
      <c r="J28" s="280" t="e">
        <f t="shared" si="2"/>
        <v>#REF!</v>
      </c>
      <c r="K28" s="281" t="e">
        <f t="shared" si="2"/>
        <v>#REF!</v>
      </c>
      <c r="L28" s="282" t="e">
        <f t="shared" si="3"/>
        <v>#REF!</v>
      </c>
      <c r="M28" s="283" t="e">
        <f t="shared" si="4"/>
        <v>#REF!</v>
      </c>
      <c r="N28" s="260"/>
      <c r="O28" s="260"/>
      <c r="P28" s="260"/>
      <c r="Q28" s="260"/>
      <c r="R28" s="260"/>
      <c r="S28" s="99"/>
      <c r="T28" s="260"/>
      <c r="U28" s="271"/>
    </row>
    <row r="29" spans="2:21" ht="15.75" thickBot="1" x14ac:dyDescent="0.3">
      <c r="B29" s="284" t="s">
        <v>65</v>
      </c>
      <c r="C29" s="285" t="e">
        <f t="shared" ref="C29:M29" si="5">SUM(C9:C28)</f>
        <v>#REF!</v>
      </c>
      <c r="D29" s="286" t="e">
        <f t="shared" si="5"/>
        <v>#REF!</v>
      </c>
      <c r="E29" s="303">
        <f t="shared" si="5"/>
        <v>100.00000000000003</v>
      </c>
      <c r="F29" s="48">
        <f t="shared" si="5"/>
        <v>212783157.76499996</v>
      </c>
      <c r="G29" s="49" t="e">
        <f t="shared" si="5"/>
        <v>#REF!</v>
      </c>
      <c r="H29" s="304" t="e">
        <f>SUM(H9:H28)</f>
        <v>#REF!</v>
      </c>
      <c r="I29" s="287"/>
      <c r="J29" s="288" t="e">
        <f>SUM(J9:J28)</f>
        <v>#REF!</v>
      </c>
      <c r="K29" s="289" t="e">
        <f t="shared" si="5"/>
        <v>#REF!</v>
      </c>
      <c r="L29" s="290" t="e">
        <f>SUM(L9:L28)</f>
        <v>#REF!</v>
      </c>
      <c r="M29" s="291" t="e">
        <f t="shared" si="5"/>
        <v>#REF!</v>
      </c>
      <c r="N29" s="260"/>
      <c r="O29" s="260"/>
      <c r="P29" s="260"/>
      <c r="Q29" s="260"/>
      <c r="R29" s="260"/>
      <c r="S29" s="292"/>
      <c r="T29" s="260"/>
      <c r="U29" s="260"/>
    </row>
    <row r="30" spans="2:21" x14ac:dyDescent="0.25">
      <c r="B30" s="8" t="s">
        <v>232</v>
      </c>
      <c r="C30" s="8"/>
      <c r="D30" s="8"/>
      <c r="E30" s="8"/>
      <c r="F30" s="8"/>
      <c r="G30" s="8"/>
      <c r="H30" s="8"/>
      <c r="I30" s="8"/>
      <c r="J30" s="8"/>
      <c r="K30" s="57"/>
      <c r="L30" s="57"/>
      <c r="M30" s="260"/>
      <c r="N30" s="8"/>
      <c r="O30" s="8"/>
      <c r="P30" s="8"/>
      <c r="Q30" s="8"/>
      <c r="R30" s="8"/>
      <c r="S30" s="8"/>
      <c r="T30" s="8"/>
      <c r="U30" s="8"/>
    </row>
    <row r="31" spans="2:21" x14ac:dyDescent="0.25">
      <c r="B31" s="8" t="s">
        <v>233</v>
      </c>
      <c r="C31" s="8"/>
      <c r="D31" s="8"/>
      <c r="E31" s="8"/>
      <c r="F31" s="260"/>
      <c r="G31" s="8"/>
      <c r="H31" s="8"/>
      <c r="I31" s="8"/>
      <c r="J31" s="8"/>
      <c r="K31" s="57"/>
      <c r="L31" s="57"/>
      <c r="M31" s="8"/>
      <c r="N31" s="8"/>
      <c r="O31" s="8"/>
      <c r="P31" s="8"/>
      <c r="Q31" s="8"/>
      <c r="R31" s="8"/>
      <c r="S31" s="8"/>
      <c r="T31" s="8"/>
      <c r="U31" s="8"/>
    </row>
    <row r="32" spans="2:21" x14ac:dyDescent="0.25">
      <c r="B32" s="8"/>
      <c r="C32" s="8"/>
      <c r="D32" s="293"/>
      <c r="E32" s="8"/>
      <c r="F32" s="8"/>
      <c r="G32" s="8"/>
      <c r="H32" s="8"/>
      <c r="I32" s="117">
        <f>SUM(I9:I28)</f>
        <v>4921983.8999999026</v>
      </c>
      <c r="J32" s="8"/>
      <c r="K32" s="57"/>
      <c r="L32" s="57"/>
      <c r="M32" s="8"/>
      <c r="N32" s="8"/>
      <c r="O32" s="8"/>
      <c r="P32" s="8"/>
      <c r="Q32" s="8"/>
      <c r="R32" s="8"/>
      <c r="S32" s="8"/>
      <c r="T32" s="8"/>
      <c r="U32" s="8"/>
    </row>
    <row r="33" spans="2:6" hidden="1" x14ac:dyDescent="0.25">
      <c r="B33" s="8"/>
      <c r="C33" s="8"/>
      <c r="D33" s="8"/>
      <c r="E33" s="8"/>
      <c r="F33" s="8"/>
    </row>
    <row r="34" spans="2:6" hidden="1" x14ac:dyDescent="0.25">
      <c r="B34" s="1139" t="s">
        <v>234</v>
      </c>
      <c r="C34" s="1139"/>
      <c r="D34" s="1139"/>
      <c r="E34" s="8"/>
      <c r="F34" s="8"/>
    </row>
    <row r="35" spans="2:6" ht="15" hidden="1" customHeight="1" x14ac:dyDescent="0.25">
      <c r="B35" s="1292" t="s">
        <v>235</v>
      </c>
      <c r="C35" s="1293" t="s">
        <v>24</v>
      </c>
      <c r="D35" s="1293"/>
      <c r="E35" s="8"/>
      <c r="F35" s="8"/>
    </row>
    <row r="36" spans="2:6" hidden="1" x14ac:dyDescent="0.25">
      <c r="B36" s="1292"/>
      <c r="C36" s="221" t="s">
        <v>236</v>
      </c>
      <c r="D36" s="221" t="s">
        <v>237</v>
      </c>
      <c r="E36" s="8"/>
      <c r="F36" s="8"/>
    </row>
    <row r="37" spans="2:6" hidden="1" x14ac:dyDescent="0.25">
      <c r="B37" s="294" t="s">
        <v>45</v>
      </c>
      <c r="C37" s="174">
        <v>29974.498347254703</v>
      </c>
      <c r="D37" s="174">
        <v>15215.818184990858</v>
      </c>
      <c r="E37" s="125"/>
      <c r="F37" s="126"/>
    </row>
    <row r="38" spans="2:6" hidden="1" x14ac:dyDescent="0.25">
      <c r="B38" s="294" t="s">
        <v>46</v>
      </c>
      <c r="C38" s="174">
        <v>52680.591327376627</v>
      </c>
      <c r="D38" s="174">
        <v>21399.49763849939</v>
      </c>
      <c r="E38" s="125"/>
      <c r="F38" s="126"/>
    </row>
    <row r="39" spans="2:6" hidden="1" x14ac:dyDescent="0.25">
      <c r="B39" s="294" t="s">
        <v>47</v>
      </c>
      <c r="C39" s="174">
        <v>98033.370647845295</v>
      </c>
      <c r="D39" s="174">
        <v>21647.119796160252</v>
      </c>
      <c r="E39" s="125"/>
      <c r="F39" s="126"/>
    </row>
    <row r="40" spans="2:6" hidden="1" x14ac:dyDescent="0.25">
      <c r="B40" s="294" t="s">
        <v>48</v>
      </c>
      <c r="C40" s="174">
        <v>21399.49763849939</v>
      </c>
      <c r="D40" s="174">
        <v>25965.384823886736</v>
      </c>
      <c r="E40" s="125"/>
      <c r="F40" s="126"/>
    </row>
    <row r="41" spans="2:6" hidden="1" x14ac:dyDescent="0.25">
      <c r="B41" s="294" t="s">
        <v>49</v>
      </c>
      <c r="C41" s="174">
        <v>25965.384823886736</v>
      </c>
      <c r="D41" s="174">
        <v>27212.070679317905</v>
      </c>
      <c r="E41" s="125"/>
      <c r="F41" s="126"/>
    </row>
    <row r="42" spans="2:6" hidden="1" x14ac:dyDescent="0.25">
      <c r="B42" s="294" t="s">
        <v>50</v>
      </c>
      <c r="C42" s="174">
        <v>37003.826900566906</v>
      </c>
      <c r="D42" s="174">
        <v>29974.498347254703</v>
      </c>
      <c r="E42" s="125"/>
      <c r="F42" s="126"/>
    </row>
    <row r="43" spans="2:6" hidden="1" x14ac:dyDescent="0.25">
      <c r="B43" s="294" t="s">
        <v>51</v>
      </c>
      <c r="C43" s="174">
        <v>79580.165950345632</v>
      </c>
      <c r="D43" s="174">
        <v>32584.151507048995</v>
      </c>
      <c r="E43" s="125"/>
      <c r="F43" s="126"/>
    </row>
    <row r="44" spans="2:6" hidden="1" x14ac:dyDescent="0.25">
      <c r="B44" s="294" t="s">
        <v>52</v>
      </c>
      <c r="C44" s="174">
        <v>33772.177205488624</v>
      </c>
      <c r="D44" s="174">
        <v>33772.177205488624</v>
      </c>
      <c r="E44" s="125"/>
      <c r="F44" s="126"/>
    </row>
    <row r="45" spans="2:6" hidden="1" x14ac:dyDescent="0.25">
      <c r="B45" s="294" t="s">
        <v>53</v>
      </c>
      <c r="C45" s="174">
        <v>45225.633132002353</v>
      </c>
      <c r="D45" s="174">
        <v>36708.177999525833</v>
      </c>
      <c r="E45" s="125"/>
      <c r="F45" s="126"/>
    </row>
    <row r="46" spans="2:6" hidden="1" x14ac:dyDescent="0.25">
      <c r="B46" s="294" t="s">
        <v>54</v>
      </c>
      <c r="C46" s="174">
        <v>63112.329754147126</v>
      </c>
      <c r="D46" s="174">
        <v>37003.826900566906</v>
      </c>
      <c r="E46" s="125"/>
      <c r="F46" s="126"/>
    </row>
    <row r="47" spans="2:6" hidden="1" x14ac:dyDescent="0.25">
      <c r="B47" s="294" t="s">
        <v>55</v>
      </c>
      <c r="C47" s="174">
        <v>39704.639733971853</v>
      </c>
      <c r="D47" s="174">
        <v>39704.639733971853</v>
      </c>
      <c r="E47" s="125"/>
      <c r="F47" s="126"/>
    </row>
    <row r="48" spans="2:6" hidden="1" x14ac:dyDescent="0.25">
      <c r="B48" s="294" t="s">
        <v>56</v>
      </c>
      <c r="C48" s="174">
        <v>44506.829771857942</v>
      </c>
      <c r="D48" s="174">
        <v>43192.395279627446</v>
      </c>
      <c r="E48" s="125"/>
      <c r="F48" s="126"/>
    </row>
    <row r="49" spans="2:12" hidden="1" x14ac:dyDescent="0.25">
      <c r="B49" s="294" t="s">
        <v>57</v>
      </c>
      <c r="C49" s="174">
        <v>32584.151507048995</v>
      </c>
      <c r="D49" s="174">
        <v>44506.829771857942</v>
      </c>
      <c r="E49" s="125"/>
      <c r="F49" s="126"/>
      <c r="G49" s="8"/>
      <c r="H49" s="8"/>
      <c r="I49" s="8"/>
      <c r="J49" s="8"/>
      <c r="K49" s="57"/>
      <c r="L49" s="57"/>
    </row>
    <row r="50" spans="2:12" hidden="1" x14ac:dyDescent="0.25">
      <c r="B50" s="294" t="s">
        <v>58</v>
      </c>
      <c r="C50" s="174">
        <v>268831.41005360917</v>
      </c>
      <c r="D50" s="174">
        <v>45225.633132002353</v>
      </c>
      <c r="E50" s="125"/>
      <c r="F50" s="126"/>
      <c r="G50" s="8"/>
      <c r="H50" s="8"/>
      <c r="I50" s="8"/>
      <c r="J50" s="8"/>
      <c r="K50" s="57"/>
      <c r="L50" s="57"/>
    </row>
    <row r="51" spans="2:12" hidden="1" x14ac:dyDescent="0.25">
      <c r="B51" s="294" t="s">
        <v>59</v>
      </c>
      <c r="C51" s="174">
        <v>46347.41126647652</v>
      </c>
      <c r="D51" s="174">
        <v>46347.41126647652</v>
      </c>
      <c r="E51" s="125"/>
      <c r="F51" s="126"/>
      <c r="G51" s="8"/>
      <c r="H51" s="8"/>
      <c r="I51" s="8"/>
      <c r="J51" s="8"/>
      <c r="K51" s="57"/>
      <c r="L51" s="57"/>
    </row>
    <row r="52" spans="2:12" hidden="1" x14ac:dyDescent="0.25">
      <c r="B52" s="294" t="s">
        <v>60</v>
      </c>
      <c r="C52" s="174">
        <v>21647.119796160252</v>
      </c>
      <c r="D52" s="174">
        <v>52680.591327376627</v>
      </c>
      <c r="E52" s="125"/>
      <c r="F52" s="126"/>
      <c r="G52" s="8"/>
      <c r="H52" s="8"/>
      <c r="I52" s="8"/>
      <c r="J52" s="8"/>
      <c r="K52" s="57"/>
      <c r="L52" s="57"/>
    </row>
    <row r="53" spans="2:12" hidden="1" x14ac:dyDescent="0.25">
      <c r="B53" s="294" t="s">
        <v>61</v>
      </c>
      <c r="C53" s="174">
        <v>36708.177999525833</v>
      </c>
      <c r="D53" s="174">
        <v>63112.329754147126</v>
      </c>
      <c r="E53" s="125"/>
      <c r="F53" s="126"/>
      <c r="G53" s="8"/>
      <c r="H53" s="8"/>
      <c r="I53" s="8"/>
      <c r="J53" s="8"/>
      <c r="K53" s="57"/>
      <c r="L53" s="57"/>
    </row>
    <row r="54" spans="2:12" hidden="1" x14ac:dyDescent="0.25">
      <c r="B54" s="294" t="s">
        <v>62</v>
      </c>
      <c r="C54" s="174">
        <v>15215.818184990858</v>
      </c>
      <c r="D54" s="174">
        <v>79580.165950345632</v>
      </c>
      <c r="E54" s="125"/>
      <c r="F54" s="126"/>
      <c r="G54" s="8"/>
      <c r="H54" s="8"/>
      <c r="I54" s="8"/>
      <c r="J54" s="8"/>
      <c r="K54" s="57"/>
      <c r="L54" s="57"/>
    </row>
    <row r="55" spans="2:12" hidden="1" x14ac:dyDescent="0.25">
      <c r="B55" s="294" t="s">
        <v>63</v>
      </c>
      <c r="C55" s="174">
        <v>43192.395279627446</v>
      </c>
      <c r="D55" s="174">
        <v>98033.370647845295</v>
      </c>
      <c r="E55" s="125"/>
      <c r="F55" s="126"/>
      <c r="G55" s="8"/>
      <c r="H55" s="8"/>
      <c r="I55" s="8"/>
      <c r="J55" s="8"/>
      <c r="K55" s="57"/>
      <c r="L55" s="57"/>
    </row>
    <row r="56" spans="2:12" hidden="1" x14ac:dyDescent="0.25">
      <c r="B56" s="294" t="s">
        <v>64</v>
      </c>
      <c r="C56" s="174">
        <v>27212.070679317905</v>
      </c>
      <c r="D56" s="174">
        <v>268831.41005360917</v>
      </c>
      <c r="E56" s="125"/>
      <c r="F56" s="126"/>
      <c r="G56" s="8"/>
      <c r="H56" s="8"/>
      <c r="I56" s="8"/>
      <c r="J56" s="8"/>
      <c r="K56" s="57"/>
      <c r="L56" s="57"/>
    </row>
    <row r="57" spans="2:12" hidden="1" x14ac:dyDescent="0.25">
      <c r="B57" s="294" t="s">
        <v>82</v>
      </c>
      <c r="C57" s="174">
        <f>SUM(C37:C56)</f>
        <v>1062697.5000000002</v>
      </c>
      <c r="D57" s="174">
        <f>SUM(D37:D56)</f>
        <v>1062697.5000000002</v>
      </c>
      <c r="E57" s="125"/>
      <c r="F57" s="135"/>
      <c r="G57" s="8"/>
      <c r="H57" s="8"/>
      <c r="I57" s="8"/>
      <c r="J57" s="8"/>
      <c r="K57" s="57"/>
      <c r="L57" s="57"/>
    </row>
    <row r="58" spans="2:12" hidden="1" x14ac:dyDescent="0.25">
      <c r="B58" s="8"/>
      <c r="C58" s="8"/>
      <c r="D58" s="8"/>
      <c r="E58" s="8"/>
      <c r="F58" s="8"/>
      <c r="G58" s="8"/>
      <c r="H58" s="8"/>
      <c r="I58" s="8"/>
      <c r="J58" s="8"/>
      <c r="K58" s="57"/>
      <c r="L58" s="57"/>
    </row>
    <row r="59" spans="2:12" x14ac:dyDescent="0.25">
      <c r="C59" s="8"/>
      <c r="D59" s="8"/>
      <c r="E59" s="8"/>
      <c r="F59" s="8"/>
      <c r="G59" s="8"/>
      <c r="H59" s="8"/>
      <c r="I59" s="8"/>
      <c r="J59" s="8"/>
      <c r="K59" s="57"/>
      <c r="L59" s="57"/>
    </row>
    <row r="60" spans="2:12" x14ac:dyDescent="0.25">
      <c r="B60" s="8"/>
      <c r="C60" s="8"/>
      <c r="D60" s="8"/>
      <c r="E60" s="8"/>
      <c r="F60" s="8"/>
      <c r="G60" s="8"/>
      <c r="H60" s="8"/>
      <c r="I60" s="8"/>
      <c r="J60" s="8"/>
      <c r="K60" s="57"/>
      <c r="L60" s="57"/>
    </row>
    <row r="61" spans="2:12" ht="15.75" hidden="1" x14ac:dyDescent="0.25">
      <c r="B61" s="978" t="s">
        <v>116</v>
      </c>
      <c r="C61" s="978"/>
      <c r="D61" s="978"/>
      <c r="E61" s="978"/>
      <c r="F61" s="978"/>
      <c r="G61" s="978"/>
      <c r="H61" s="978"/>
      <c r="I61" s="219"/>
      <c r="J61" s="219"/>
      <c r="K61" s="220"/>
      <c r="L61" s="220"/>
    </row>
    <row r="62" spans="2:12" hidden="1" x14ac:dyDescent="0.25">
      <c r="B62" s="8"/>
      <c r="C62" s="8"/>
      <c r="D62" s="8"/>
      <c r="E62" s="8"/>
      <c r="F62" s="8"/>
      <c r="G62" s="8"/>
      <c r="H62" s="8"/>
      <c r="I62" s="8"/>
      <c r="J62" s="8"/>
      <c r="K62" s="57"/>
      <c r="L62" s="57"/>
    </row>
    <row r="63" spans="2:12" hidden="1" x14ac:dyDescent="0.25">
      <c r="B63" s="1287" t="s">
        <v>83</v>
      </c>
      <c r="C63" s="86" t="s">
        <v>84</v>
      </c>
      <c r="D63" s="86" t="s">
        <v>20</v>
      </c>
      <c r="E63" s="118" t="s">
        <v>118</v>
      </c>
      <c r="F63" s="118" t="s">
        <v>82</v>
      </c>
      <c r="G63" s="86" t="s">
        <v>119</v>
      </c>
      <c r="H63" s="86" t="s">
        <v>120</v>
      </c>
      <c r="I63" s="222"/>
      <c r="J63" s="222"/>
      <c r="K63" s="57"/>
      <c r="L63" s="57"/>
    </row>
    <row r="64" spans="2:12" hidden="1" x14ac:dyDescent="0.25">
      <c r="B64" s="1288"/>
      <c r="C64" s="13" t="s">
        <v>89</v>
      </c>
      <c r="D64" s="13" t="s">
        <v>30</v>
      </c>
      <c r="E64" s="119" t="s">
        <v>122</v>
      </c>
      <c r="F64" s="119" t="s">
        <v>238</v>
      </c>
      <c r="G64" s="13" t="s">
        <v>124</v>
      </c>
      <c r="H64" s="13" t="s">
        <v>125</v>
      </c>
      <c r="I64" s="222"/>
      <c r="J64" s="222"/>
      <c r="K64" s="57"/>
      <c r="L64" s="57"/>
    </row>
    <row r="65" spans="2:10" hidden="1" x14ac:dyDescent="0.25">
      <c r="B65" s="1288"/>
      <c r="C65" s="120">
        <v>2014</v>
      </c>
      <c r="D65" s="120" t="s">
        <v>36</v>
      </c>
      <c r="E65" s="119">
        <v>2015</v>
      </c>
      <c r="F65" s="119" t="s">
        <v>129</v>
      </c>
      <c r="G65" s="13">
        <v>2014</v>
      </c>
      <c r="H65" s="13" t="s">
        <v>130</v>
      </c>
      <c r="I65" s="222"/>
      <c r="J65" s="222"/>
    </row>
    <row r="66" spans="2:10" hidden="1" x14ac:dyDescent="0.25">
      <c r="B66" s="1289"/>
      <c r="C66" s="121" t="s">
        <v>70</v>
      </c>
      <c r="D66" s="121" t="s">
        <v>97</v>
      </c>
      <c r="E66" s="121" t="s">
        <v>71</v>
      </c>
      <c r="F66" s="121" t="s">
        <v>98</v>
      </c>
      <c r="G66" s="121" t="s">
        <v>73</v>
      </c>
      <c r="H66" s="121" t="s">
        <v>100</v>
      </c>
      <c r="I66" s="142"/>
      <c r="J66" s="142"/>
    </row>
    <row r="67" spans="2:10" hidden="1" x14ac:dyDescent="0.25">
      <c r="B67" s="122" t="s">
        <v>45</v>
      </c>
      <c r="C67" s="123">
        <v>3.62</v>
      </c>
      <c r="D67" s="295">
        <f>[6]Datos!I$13*C67%</f>
        <v>35350314.182820007</v>
      </c>
      <c r="E67" s="260" t="e">
        <f>M9</f>
        <v>#REF!</v>
      </c>
      <c r="F67" s="151" t="e">
        <f>D67+E67</f>
        <v>#REF!</v>
      </c>
      <c r="G67" s="151" t="e">
        <f>F$87*C67%</f>
        <v>#REF!</v>
      </c>
      <c r="H67" s="296" t="e">
        <f>F67-G67</f>
        <v>#REF!</v>
      </c>
      <c r="I67" s="296"/>
      <c r="J67" s="296"/>
    </row>
    <row r="68" spans="2:10" hidden="1" x14ac:dyDescent="0.25">
      <c r="B68" s="125" t="s">
        <v>46</v>
      </c>
      <c r="C68" s="99">
        <v>2.4700000000000002</v>
      </c>
      <c r="D68" s="297">
        <f>[6]Datos!I$13*C68%</f>
        <v>24120241.997670002</v>
      </c>
      <c r="E68" s="260" t="e">
        <f t="shared" ref="E68:E87" si="6">M10</f>
        <v>#REF!</v>
      </c>
      <c r="F68" s="151" t="e">
        <f t="shared" ref="F68:F87" si="7">D68+E68</f>
        <v>#REF!</v>
      </c>
      <c r="G68" s="151" t="e">
        <f t="shared" ref="G68:G87" si="8">F$87*C68%</f>
        <v>#REF!</v>
      </c>
      <c r="H68" s="296" t="e">
        <f t="shared" ref="H68:H86" si="9">F68-G68</f>
        <v>#REF!</v>
      </c>
      <c r="I68" s="296"/>
      <c r="J68" s="296"/>
    </row>
    <row r="69" spans="2:10" hidden="1" x14ac:dyDescent="0.25">
      <c r="B69" s="125" t="s">
        <v>47</v>
      </c>
      <c r="C69" s="99">
        <v>2.33</v>
      </c>
      <c r="D69" s="297">
        <f>[6]Datos!I$13*C69%</f>
        <v>22753102.77513</v>
      </c>
      <c r="E69" s="260" t="e">
        <f t="shared" si="6"/>
        <v>#REF!</v>
      </c>
      <c r="F69" s="151" t="e">
        <f t="shared" si="7"/>
        <v>#REF!</v>
      </c>
      <c r="G69" s="151" t="e">
        <f t="shared" si="8"/>
        <v>#REF!</v>
      </c>
      <c r="H69" s="296" t="e">
        <f t="shared" si="9"/>
        <v>#REF!</v>
      </c>
      <c r="I69" s="296"/>
      <c r="J69" s="296"/>
    </row>
    <row r="70" spans="2:10" hidden="1" x14ac:dyDescent="0.25">
      <c r="B70" s="125" t="s">
        <v>48</v>
      </c>
      <c r="C70" s="99">
        <v>2.81</v>
      </c>
      <c r="D70" s="297">
        <f>[6]Datos!I$13*C70%</f>
        <v>27440437.252410002</v>
      </c>
      <c r="E70" s="260" t="e">
        <f t="shared" si="6"/>
        <v>#REF!</v>
      </c>
      <c r="F70" s="151" t="e">
        <f t="shared" si="7"/>
        <v>#REF!</v>
      </c>
      <c r="G70" s="151" t="e">
        <f t="shared" si="8"/>
        <v>#REF!</v>
      </c>
      <c r="H70" s="296" t="e">
        <f t="shared" si="9"/>
        <v>#REF!</v>
      </c>
      <c r="I70" s="296"/>
      <c r="J70" s="296"/>
    </row>
    <row r="71" spans="2:10" hidden="1" x14ac:dyDescent="0.25">
      <c r="B71" s="125" t="s">
        <v>49</v>
      </c>
      <c r="C71" s="99">
        <v>4.6399999999999997</v>
      </c>
      <c r="D71" s="297">
        <f>[6]Datos!I$13*C71%</f>
        <v>45310899.947039999</v>
      </c>
      <c r="E71" s="260" t="e">
        <f t="shared" si="6"/>
        <v>#REF!</v>
      </c>
      <c r="F71" s="151" t="e">
        <f t="shared" si="7"/>
        <v>#REF!</v>
      </c>
      <c r="G71" s="151" t="e">
        <f t="shared" si="8"/>
        <v>#REF!</v>
      </c>
      <c r="H71" s="296" t="e">
        <f t="shared" si="9"/>
        <v>#REF!</v>
      </c>
      <c r="I71" s="296"/>
      <c r="J71" s="296"/>
    </row>
    <row r="72" spans="2:10" hidden="1" x14ac:dyDescent="0.25">
      <c r="B72" s="125" t="s">
        <v>50</v>
      </c>
      <c r="C72" s="99">
        <v>1.5</v>
      </c>
      <c r="D72" s="297">
        <f>[6]Datos!I$13*C72%</f>
        <v>14647920.2415</v>
      </c>
      <c r="E72" s="260" t="e">
        <f t="shared" si="6"/>
        <v>#REF!</v>
      </c>
      <c r="F72" s="151" t="e">
        <f t="shared" si="7"/>
        <v>#REF!</v>
      </c>
      <c r="G72" s="151" t="e">
        <f t="shared" si="8"/>
        <v>#REF!</v>
      </c>
      <c r="H72" s="296" t="e">
        <f t="shared" si="9"/>
        <v>#REF!</v>
      </c>
      <c r="I72" s="296"/>
      <c r="J72" s="296"/>
    </row>
    <row r="73" spans="2:10" hidden="1" x14ac:dyDescent="0.25">
      <c r="B73" s="125" t="s">
        <v>51</v>
      </c>
      <c r="C73" s="99">
        <v>1.53</v>
      </c>
      <c r="D73" s="297">
        <f>[6]Datos!I$13*C73%</f>
        <v>14940878.646330001</v>
      </c>
      <c r="E73" s="260" t="e">
        <f t="shared" si="6"/>
        <v>#REF!</v>
      </c>
      <c r="F73" s="151" t="e">
        <f t="shared" si="7"/>
        <v>#REF!</v>
      </c>
      <c r="G73" s="151" t="e">
        <f t="shared" si="8"/>
        <v>#REF!</v>
      </c>
      <c r="H73" s="296" t="e">
        <f t="shared" si="9"/>
        <v>#REF!</v>
      </c>
      <c r="I73" s="296"/>
      <c r="J73" s="296"/>
    </row>
    <row r="74" spans="2:10" hidden="1" x14ac:dyDescent="0.25">
      <c r="B74" s="125" t="s">
        <v>52</v>
      </c>
      <c r="C74" s="99">
        <v>3.16</v>
      </c>
      <c r="D74" s="297">
        <f>[6]Datos!I$13*C74%</f>
        <v>30858285.308760002</v>
      </c>
      <c r="E74" s="260" t="e">
        <f t="shared" si="6"/>
        <v>#REF!</v>
      </c>
      <c r="F74" s="151" t="e">
        <f t="shared" si="7"/>
        <v>#REF!</v>
      </c>
      <c r="G74" s="151" t="e">
        <f t="shared" si="8"/>
        <v>#REF!</v>
      </c>
      <c r="H74" s="296" t="e">
        <f t="shared" si="9"/>
        <v>#REF!</v>
      </c>
      <c r="I74" s="296"/>
      <c r="J74" s="296"/>
    </row>
    <row r="75" spans="2:10" hidden="1" x14ac:dyDescent="0.25">
      <c r="B75" s="125" t="s">
        <v>53</v>
      </c>
      <c r="C75" s="99">
        <v>2.81</v>
      </c>
      <c r="D75" s="297">
        <f>[6]Datos!I$13*C75%</f>
        <v>27440437.252410002</v>
      </c>
      <c r="E75" s="260" t="e">
        <f t="shared" si="6"/>
        <v>#REF!</v>
      </c>
      <c r="F75" s="151" t="e">
        <f t="shared" si="7"/>
        <v>#REF!</v>
      </c>
      <c r="G75" s="151" t="e">
        <f t="shared" si="8"/>
        <v>#REF!</v>
      </c>
      <c r="H75" s="296" t="e">
        <f t="shared" si="9"/>
        <v>#REF!</v>
      </c>
      <c r="I75" s="296"/>
      <c r="J75" s="296"/>
    </row>
    <row r="76" spans="2:10" hidden="1" x14ac:dyDescent="0.25">
      <c r="B76" s="125" t="s">
        <v>54</v>
      </c>
      <c r="C76" s="99">
        <v>1.6</v>
      </c>
      <c r="D76" s="297">
        <f>[6]Datos!I$13*C76%</f>
        <v>15624448.2576</v>
      </c>
      <c r="E76" s="260" t="e">
        <f t="shared" si="6"/>
        <v>#REF!</v>
      </c>
      <c r="F76" s="151" t="e">
        <f t="shared" si="7"/>
        <v>#REF!</v>
      </c>
      <c r="G76" s="151" t="e">
        <f t="shared" si="8"/>
        <v>#REF!</v>
      </c>
      <c r="H76" s="296" t="e">
        <f t="shared" si="9"/>
        <v>#REF!</v>
      </c>
      <c r="I76" s="296"/>
      <c r="J76" s="296"/>
    </row>
    <row r="77" spans="2:10" hidden="1" x14ac:dyDescent="0.25">
      <c r="B77" s="125" t="s">
        <v>55</v>
      </c>
      <c r="C77" s="99">
        <v>2.84</v>
      </c>
      <c r="D77" s="297">
        <f>[6]Datos!I$13*C77%</f>
        <v>27733395.65724</v>
      </c>
      <c r="E77" s="260" t="e">
        <f t="shared" si="6"/>
        <v>#REF!</v>
      </c>
      <c r="F77" s="151" t="e">
        <f t="shared" si="7"/>
        <v>#REF!</v>
      </c>
      <c r="G77" s="151" t="e">
        <f t="shared" si="8"/>
        <v>#REF!</v>
      </c>
      <c r="H77" s="296" t="e">
        <f t="shared" si="9"/>
        <v>#REF!</v>
      </c>
      <c r="I77" s="296"/>
      <c r="J77" s="296"/>
    </row>
    <row r="78" spans="2:10" hidden="1" x14ac:dyDescent="0.25">
      <c r="B78" s="125" t="s">
        <v>56</v>
      </c>
      <c r="C78" s="99">
        <v>3.33</v>
      </c>
      <c r="D78" s="297">
        <f>[6]Datos!I$13*C78%</f>
        <v>32518382.936130002</v>
      </c>
      <c r="E78" s="260" t="e">
        <f t="shared" si="6"/>
        <v>#REF!</v>
      </c>
      <c r="F78" s="151" t="e">
        <f t="shared" si="7"/>
        <v>#REF!</v>
      </c>
      <c r="G78" s="151" t="e">
        <f t="shared" si="8"/>
        <v>#REF!</v>
      </c>
      <c r="H78" s="298" t="e">
        <f t="shared" si="9"/>
        <v>#REF!</v>
      </c>
      <c r="I78" s="298"/>
      <c r="J78" s="298"/>
    </row>
    <row r="79" spans="2:10" hidden="1" x14ac:dyDescent="0.25">
      <c r="B79" s="125" t="s">
        <v>57</v>
      </c>
      <c r="C79" s="99">
        <v>4.6900000000000004</v>
      </c>
      <c r="D79" s="297">
        <f>[6]Datos!I$13*C79%</f>
        <v>45799163.955090009</v>
      </c>
      <c r="E79" s="260" t="e">
        <f t="shared" si="6"/>
        <v>#REF!</v>
      </c>
      <c r="F79" s="151" t="e">
        <f t="shared" si="7"/>
        <v>#REF!</v>
      </c>
      <c r="G79" s="151" t="e">
        <f t="shared" si="8"/>
        <v>#REF!</v>
      </c>
      <c r="H79" s="298" t="e">
        <f t="shared" si="9"/>
        <v>#REF!</v>
      </c>
      <c r="I79" s="298"/>
      <c r="J79" s="298"/>
    </row>
    <row r="80" spans="2:10" hidden="1" x14ac:dyDescent="0.25">
      <c r="B80" s="125" t="s">
        <v>58</v>
      </c>
      <c r="C80" s="99">
        <v>2.13</v>
      </c>
      <c r="D80" s="297">
        <f>[6]Datos!I$13*C80%</f>
        <v>20800046.742929999</v>
      </c>
      <c r="E80" s="260" t="e">
        <f t="shared" si="6"/>
        <v>#REF!</v>
      </c>
      <c r="F80" s="151" t="e">
        <f t="shared" si="7"/>
        <v>#REF!</v>
      </c>
      <c r="G80" s="151" t="e">
        <f t="shared" si="8"/>
        <v>#REF!</v>
      </c>
      <c r="H80" s="296" t="e">
        <f t="shared" si="9"/>
        <v>#REF!</v>
      </c>
      <c r="I80" s="296"/>
      <c r="J80" s="296"/>
    </row>
    <row r="81" spans="2:10" hidden="1" x14ac:dyDescent="0.25">
      <c r="B81" s="125" t="s">
        <v>59</v>
      </c>
      <c r="C81" s="99">
        <v>2.81</v>
      </c>
      <c r="D81" s="297">
        <f>[6]Datos!I$13*C81%</f>
        <v>27440437.252410002</v>
      </c>
      <c r="E81" s="260" t="e">
        <f t="shared" si="6"/>
        <v>#REF!</v>
      </c>
      <c r="F81" s="151" t="e">
        <f t="shared" si="7"/>
        <v>#REF!</v>
      </c>
      <c r="G81" s="151" t="e">
        <f t="shared" si="8"/>
        <v>#REF!</v>
      </c>
      <c r="H81" s="296" t="e">
        <f t="shared" si="9"/>
        <v>#REF!</v>
      </c>
      <c r="I81" s="296"/>
      <c r="J81" s="296"/>
    </row>
    <row r="82" spans="2:10" hidden="1" x14ac:dyDescent="0.25">
      <c r="B82" s="125" t="s">
        <v>60</v>
      </c>
      <c r="C82" s="99">
        <v>8.34</v>
      </c>
      <c r="D82" s="297">
        <f>[6]Datos!I$13*C82%</f>
        <v>81442436.542740002</v>
      </c>
      <c r="E82" s="260" t="e">
        <f t="shared" si="6"/>
        <v>#REF!</v>
      </c>
      <c r="F82" s="151" t="e">
        <f t="shared" si="7"/>
        <v>#REF!</v>
      </c>
      <c r="G82" s="151" t="e">
        <f t="shared" si="8"/>
        <v>#REF!</v>
      </c>
      <c r="H82" s="298" t="e">
        <f t="shared" si="9"/>
        <v>#REF!</v>
      </c>
      <c r="I82" s="298"/>
      <c r="J82" s="298"/>
    </row>
    <row r="83" spans="2:10" hidden="1" x14ac:dyDescent="0.25">
      <c r="B83" s="125" t="s">
        <v>61</v>
      </c>
      <c r="C83" s="99">
        <v>3.5</v>
      </c>
      <c r="D83" s="297">
        <f>[6]Datos!I$13*C83%</f>
        <v>34178480.563500002</v>
      </c>
      <c r="E83" s="260" t="e">
        <f t="shared" si="6"/>
        <v>#REF!</v>
      </c>
      <c r="F83" s="151" t="e">
        <f t="shared" si="7"/>
        <v>#REF!</v>
      </c>
      <c r="G83" s="151" t="e">
        <f t="shared" si="8"/>
        <v>#REF!</v>
      </c>
      <c r="H83" s="296" t="e">
        <f t="shared" si="9"/>
        <v>#REF!</v>
      </c>
      <c r="I83" s="296"/>
      <c r="J83" s="296"/>
    </row>
    <row r="84" spans="2:10" hidden="1" x14ac:dyDescent="0.25">
      <c r="B84" s="125" t="s">
        <v>62</v>
      </c>
      <c r="C84" s="99">
        <v>39</v>
      </c>
      <c r="D84" s="297">
        <f>[6]Datos!I$13*C84%</f>
        <v>380845926.27900004</v>
      </c>
      <c r="E84" s="260" t="e">
        <f t="shared" si="6"/>
        <v>#REF!</v>
      </c>
      <c r="F84" s="151" t="e">
        <f t="shared" si="7"/>
        <v>#REF!</v>
      </c>
      <c r="G84" s="151" t="e">
        <f t="shared" si="8"/>
        <v>#REF!</v>
      </c>
      <c r="H84" s="298" t="e">
        <f t="shared" si="9"/>
        <v>#REF!</v>
      </c>
      <c r="I84" s="298"/>
      <c r="J84" s="298"/>
    </row>
    <row r="85" spans="2:10" hidden="1" x14ac:dyDescent="0.25">
      <c r="B85" s="125" t="s">
        <v>63</v>
      </c>
      <c r="C85" s="99">
        <v>3.79</v>
      </c>
      <c r="D85" s="297">
        <f>[6]Datos!I$13*C85%</f>
        <v>37010411.810190007</v>
      </c>
      <c r="E85" s="260" t="e">
        <f t="shared" si="6"/>
        <v>#REF!</v>
      </c>
      <c r="F85" s="151" t="e">
        <f t="shared" si="7"/>
        <v>#REF!</v>
      </c>
      <c r="G85" s="151" t="e">
        <f t="shared" si="8"/>
        <v>#REF!</v>
      </c>
      <c r="H85" s="298" t="e">
        <f t="shared" si="9"/>
        <v>#REF!</v>
      </c>
      <c r="I85" s="298"/>
      <c r="J85" s="298"/>
    </row>
    <row r="86" spans="2:10" hidden="1" x14ac:dyDescent="0.25">
      <c r="B86" s="125" t="s">
        <v>64</v>
      </c>
      <c r="C86" s="99">
        <v>3.1</v>
      </c>
      <c r="D86" s="297">
        <f>[6]Datos!I$13*C86%</f>
        <v>30272368.4991</v>
      </c>
      <c r="E86" s="260" t="e">
        <f t="shared" si="6"/>
        <v>#REF!</v>
      </c>
      <c r="F86" s="151" t="e">
        <f t="shared" si="7"/>
        <v>#REF!</v>
      </c>
      <c r="G86" s="151" t="e">
        <f t="shared" si="8"/>
        <v>#REF!</v>
      </c>
      <c r="H86" s="296" t="e">
        <f t="shared" si="9"/>
        <v>#REF!</v>
      </c>
      <c r="I86" s="296"/>
      <c r="J86" s="296"/>
    </row>
    <row r="87" spans="2:10" hidden="1" x14ac:dyDescent="0.25">
      <c r="B87" s="127" t="s">
        <v>65</v>
      </c>
      <c r="C87" s="128">
        <f>SUM(C67:C86)</f>
        <v>100</v>
      </c>
      <c r="D87" s="238">
        <f>SUM(D67:D86)</f>
        <v>976528016.0999999</v>
      </c>
      <c r="E87" s="299" t="e">
        <f t="shared" si="6"/>
        <v>#REF!</v>
      </c>
      <c r="F87" s="300" t="e">
        <f t="shared" si="7"/>
        <v>#REF!</v>
      </c>
      <c r="G87" s="300" t="e">
        <f t="shared" si="8"/>
        <v>#REF!</v>
      </c>
      <c r="H87" s="301">
        <v>0</v>
      </c>
      <c r="I87" s="302"/>
      <c r="J87" s="302"/>
    </row>
    <row r="88" spans="2:10" x14ac:dyDescent="0.25">
      <c r="B88" s="8"/>
      <c r="C88" s="8"/>
      <c r="D88" s="8"/>
      <c r="E88" s="8"/>
      <c r="F88" s="8"/>
      <c r="G88" s="8"/>
      <c r="H88" s="8"/>
      <c r="I88" s="8"/>
      <c r="J88" s="8"/>
    </row>
  </sheetData>
  <mergeCells count="12">
    <mergeCell ref="B3:M3"/>
    <mergeCell ref="B4:M4"/>
    <mergeCell ref="B5:B8"/>
    <mergeCell ref="C5:D5"/>
    <mergeCell ref="E5:F5"/>
    <mergeCell ref="C6:D6"/>
    <mergeCell ref="E6:F6"/>
    <mergeCell ref="B34:D34"/>
    <mergeCell ref="B35:B36"/>
    <mergeCell ref="C35:D35"/>
    <mergeCell ref="B61:H61"/>
    <mergeCell ref="B63:B66"/>
  </mergeCells>
  <pageMargins left="0.70866141732283472" right="0.70866141732283472" top="0.74803149606299213" bottom="0.74803149606299213" header="0.31496062992125984" footer="0.31496062992125984"/>
  <pageSetup scale="6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U35"/>
  <sheetViews>
    <sheetView zoomScaleNormal="100" workbookViewId="0">
      <selection activeCell="B1" sqref="B1:L1"/>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9"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 min="14" max="14" width="10.140625" bestFit="1" customWidth="1"/>
  </cols>
  <sheetData>
    <row r="1" spans="2:14" ht="15" customHeight="1" x14ac:dyDescent="0.25">
      <c r="B1" s="1099" t="s">
        <v>440</v>
      </c>
      <c r="C1" s="1099"/>
      <c r="D1" s="1099"/>
      <c r="E1" s="1099"/>
      <c r="F1" s="1099"/>
      <c r="G1" s="1099"/>
      <c r="H1" s="1099"/>
      <c r="I1" s="1099"/>
      <c r="J1" s="1099"/>
      <c r="K1" s="1099"/>
      <c r="L1" s="1099"/>
    </row>
    <row r="2" spans="2:14" ht="15" customHeight="1" thickBot="1" x14ac:dyDescent="0.3">
      <c r="B2" s="1099"/>
      <c r="C2" s="1099"/>
      <c r="D2" s="1099"/>
      <c r="E2" s="1099"/>
      <c r="F2" s="1099"/>
      <c r="G2" s="1099"/>
      <c r="H2" s="1099"/>
      <c r="I2" s="1099"/>
      <c r="J2" s="1099"/>
      <c r="K2" s="1099"/>
      <c r="L2" s="1099"/>
    </row>
    <row r="3" spans="2:14" ht="15" customHeight="1" thickBot="1" x14ac:dyDescent="0.3">
      <c r="B3" s="1100" t="s">
        <v>13</v>
      </c>
      <c r="C3" s="1103" t="s">
        <v>304</v>
      </c>
      <c r="D3" s="1105" t="s">
        <v>305</v>
      </c>
      <c r="E3" s="1107" t="s">
        <v>306</v>
      </c>
      <c r="F3" s="1108"/>
      <c r="G3" s="1109" t="s">
        <v>307</v>
      </c>
      <c r="H3" s="1107"/>
      <c r="I3" s="1108"/>
      <c r="J3" s="1110" t="s">
        <v>308</v>
      </c>
      <c r="K3" s="1110" t="s">
        <v>441</v>
      </c>
      <c r="L3" s="523" t="s">
        <v>168</v>
      </c>
    </row>
    <row r="4" spans="2:14" x14ac:dyDescent="0.25">
      <c r="B4" s="1101"/>
      <c r="C4" s="1104"/>
      <c r="D4" s="1106"/>
      <c r="E4" s="1112" t="s">
        <v>309</v>
      </c>
      <c r="F4" s="1114" t="s">
        <v>310</v>
      </c>
      <c r="G4" s="1110" t="s">
        <v>311</v>
      </c>
      <c r="H4" s="1110" t="s">
        <v>312</v>
      </c>
      <c r="I4" s="1110" t="s">
        <v>313</v>
      </c>
      <c r="J4" s="1111"/>
      <c r="K4" s="1111"/>
      <c r="L4" s="524" t="s">
        <v>314</v>
      </c>
    </row>
    <row r="5" spans="2:14" x14ac:dyDescent="0.25">
      <c r="B5" s="1101"/>
      <c r="C5" s="1104"/>
      <c r="D5" s="1106"/>
      <c r="E5" s="1113"/>
      <c r="F5" s="1115"/>
      <c r="G5" s="1111"/>
      <c r="H5" s="1111"/>
      <c r="I5" s="1111"/>
      <c r="J5" s="1111"/>
      <c r="K5" s="1111"/>
      <c r="L5" s="525" t="s">
        <v>315</v>
      </c>
    </row>
    <row r="6" spans="2:14" x14ac:dyDescent="0.25">
      <c r="B6" s="1101"/>
      <c r="C6" s="1104"/>
      <c r="D6" s="1106"/>
      <c r="E6" s="1113"/>
      <c r="F6" s="526">
        <v>0.7</v>
      </c>
      <c r="G6" s="1111"/>
      <c r="H6" s="1111"/>
      <c r="I6" s="1111"/>
      <c r="J6" s="1111"/>
      <c r="K6" s="525" t="s">
        <v>44</v>
      </c>
      <c r="L6" s="525" t="s">
        <v>316</v>
      </c>
    </row>
    <row r="7" spans="2:14" ht="15.75" thickBot="1" x14ac:dyDescent="0.3">
      <c r="B7" s="1102"/>
      <c r="C7" s="527" t="s">
        <v>70</v>
      </c>
      <c r="D7" s="528" t="s">
        <v>97</v>
      </c>
      <c r="E7" s="529" t="s">
        <v>71</v>
      </c>
      <c r="F7" s="528" t="s">
        <v>317</v>
      </c>
      <c r="G7" s="527" t="s">
        <v>318</v>
      </c>
      <c r="H7" s="528" t="s">
        <v>319</v>
      </c>
      <c r="I7" s="530" t="s">
        <v>320</v>
      </c>
      <c r="J7" s="528" t="s">
        <v>321</v>
      </c>
      <c r="K7" s="528" t="s">
        <v>76</v>
      </c>
      <c r="L7" s="528" t="s">
        <v>322</v>
      </c>
    </row>
    <row r="8" spans="2:14" x14ac:dyDescent="0.25">
      <c r="B8" s="531" t="s">
        <v>45</v>
      </c>
      <c r="C8" s="532">
        <v>3.81</v>
      </c>
      <c r="D8" s="533">
        <f>$D$28*C8/100</f>
        <v>2891598.5474999999</v>
      </c>
      <c r="E8" s="534">
        <f>FGP!E8</f>
        <v>3.0136241193535018</v>
      </c>
      <c r="F8" s="535">
        <f>E8*0.7</f>
        <v>2.1095368835474511</v>
      </c>
      <c r="G8" s="536">
        <f>1/E8</f>
        <v>0.33182638590459818</v>
      </c>
      <c r="H8" s="537">
        <f>G8/$G$28*100</f>
        <v>3.3056094868602481</v>
      </c>
      <c r="I8" s="538">
        <f>H8*0.3</f>
        <v>0.99168284605807444</v>
      </c>
      <c r="J8" s="539">
        <f>F8+I8</f>
        <v>3.1012197296055257</v>
      </c>
      <c r="K8" s="540">
        <f>$K$28*J8/100</f>
        <v>359864.82336758269</v>
      </c>
      <c r="L8" s="540">
        <f>D8+K8</f>
        <v>3251463.3708675825</v>
      </c>
      <c r="N8" s="181"/>
    </row>
    <row r="9" spans="2:14" x14ac:dyDescent="0.25">
      <c r="B9" s="531" t="s">
        <v>46</v>
      </c>
      <c r="C9" s="532">
        <v>1.63</v>
      </c>
      <c r="D9" s="533">
        <f t="shared" ref="D9:D27" si="0">$D$28*C9/100</f>
        <v>1237088.0924999998</v>
      </c>
      <c r="E9" s="534">
        <f>FGP!E9</f>
        <v>1.2459367229589724</v>
      </c>
      <c r="F9" s="535">
        <f t="shared" ref="F9:F27" si="1">E9*0.7</f>
        <v>0.87215570607128068</v>
      </c>
      <c r="G9" s="536">
        <f t="shared" ref="G9:G27" si="2">1/E9</f>
        <v>0.80260897810693166</v>
      </c>
      <c r="H9" s="535">
        <f t="shared" ref="H9:H27" si="3">G9/$G$28*100</f>
        <v>7.9954818693419583</v>
      </c>
      <c r="I9" s="538">
        <f t="shared" ref="I9:I27" si="4">H9*0.3</f>
        <v>2.3986445608025875</v>
      </c>
      <c r="J9" s="539">
        <f>F9+I9</f>
        <v>3.2708002668738683</v>
      </c>
      <c r="K9" s="540">
        <f t="shared" ref="K9:K27" si="5">$K$28*J9/100</f>
        <v>379542.90986628248</v>
      </c>
      <c r="L9" s="540">
        <f t="shared" ref="L9:L27" si="6">D9+K9</f>
        <v>1616631.0023662823</v>
      </c>
      <c r="N9" s="181"/>
    </row>
    <row r="10" spans="2:14" x14ac:dyDescent="0.25">
      <c r="B10" s="531" t="s">
        <v>47</v>
      </c>
      <c r="C10" s="532">
        <v>1.32</v>
      </c>
      <c r="D10" s="533">
        <f t="shared" si="0"/>
        <v>1001813.67</v>
      </c>
      <c r="E10" s="534">
        <f>FGP!E10</f>
        <v>0.93374430169912959</v>
      </c>
      <c r="F10" s="535">
        <f t="shared" si="1"/>
        <v>0.65362101118939064</v>
      </c>
      <c r="G10" s="536">
        <f t="shared" si="2"/>
        <v>1.0709570041608878</v>
      </c>
      <c r="H10" s="535">
        <f t="shared" si="3"/>
        <v>10.668728538035783</v>
      </c>
      <c r="I10" s="538">
        <f t="shared" si="4"/>
        <v>3.2006185614107348</v>
      </c>
      <c r="J10" s="539">
        <f t="shared" ref="J10:J28" si="7">F10+I10</f>
        <v>3.8542395726001253</v>
      </c>
      <c r="K10" s="540">
        <f t="shared" si="5"/>
        <v>447245.07256585732</v>
      </c>
      <c r="L10" s="540">
        <f t="shared" si="6"/>
        <v>1449058.7425658572</v>
      </c>
      <c r="N10" s="181"/>
    </row>
    <row r="11" spans="2:14" x14ac:dyDescent="0.25">
      <c r="B11" s="531" t="s">
        <v>48</v>
      </c>
      <c r="C11" s="532">
        <v>7.64</v>
      </c>
      <c r="D11" s="533">
        <f t="shared" si="0"/>
        <v>5798376.0899999999</v>
      </c>
      <c r="E11" s="534">
        <f>FGP!E11</f>
        <v>15.187266887691669</v>
      </c>
      <c r="F11" s="535">
        <f t="shared" si="1"/>
        <v>10.631086821384168</v>
      </c>
      <c r="G11" s="536">
        <f t="shared" si="2"/>
        <v>6.5844632045706494E-2</v>
      </c>
      <c r="H11" s="535">
        <f t="shared" si="3"/>
        <v>0.6559353010935276</v>
      </c>
      <c r="I11" s="538">
        <f t="shared" si="4"/>
        <v>0.19678059032805828</v>
      </c>
      <c r="J11" s="539">
        <f t="shared" si="7"/>
        <v>10.827867411712226</v>
      </c>
      <c r="K11" s="540">
        <f t="shared" si="5"/>
        <v>1256463.2413386162</v>
      </c>
      <c r="L11" s="540">
        <f t="shared" si="6"/>
        <v>7054839.3313386161</v>
      </c>
      <c r="N11" s="181"/>
    </row>
    <row r="12" spans="2:14" x14ac:dyDescent="0.25">
      <c r="B12" s="531" t="s">
        <v>49</v>
      </c>
      <c r="C12" s="532">
        <v>6.2</v>
      </c>
      <c r="D12" s="533">
        <f t="shared" si="0"/>
        <v>4705488.45</v>
      </c>
      <c r="E12" s="534">
        <f>FGP!E12</f>
        <v>6.2678071902196431</v>
      </c>
      <c r="F12" s="535">
        <f t="shared" si="1"/>
        <v>4.3874650331537497</v>
      </c>
      <c r="G12" s="536">
        <f t="shared" si="2"/>
        <v>0.15954543106565422</v>
      </c>
      <c r="H12" s="535">
        <f t="shared" si="3"/>
        <v>1.5893699624823181</v>
      </c>
      <c r="I12" s="538">
        <f t="shared" si="4"/>
        <v>0.47681098874469541</v>
      </c>
      <c r="J12" s="539">
        <f t="shared" si="7"/>
        <v>4.8642760218984451</v>
      </c>
      <c r="K12" s="540">
        <f t="shared" si="5"/>
        <v>564449.46958154195</v>
      </c>
      <c r="L12" s="540">
        <f t="shared" si="6"/>
        <v>5269937.9195815418</v>
      </c>
      <c r="N12" s="181"/>
    </row>
    <row r="13" spans="2:14" x14ac:dyDescent="0.25">
      <c r="B13" s="531" t="s">
        <v>50</v>
      </c>
      <c r="C13" s="532">
        <v>7.23</v>
      </c>
      <c r="D13" s="533">
        <f t="shared" si="0"/>
        <v>5487206.6924999999</v>
      </c>
      <c r="E13" s="534">
        <f>FGP!E13</f>
        <v>3.8487813406547868</v>
      </c>
      <c r="F13" s="535">
        <f t="shared" si="1"/>
        <v>2.6941469384583505</v>
      </c>
      <c r="G13" s="536">
        <f t="shared" si="2"/>
        <v>0.25982250262881174</v>
      </c>
      <c r="H13" s="535">
        <f t="shared" si="3"/>
        <v>2.588316559721993</v>
      </c>
      <c r="I13" s="538">
        <f t="shared" si="4"/>
        <v>0.77649496791659789</v>
      </c>
      <c r="J13" s="539">
        <f>F13+I13</f>
        <v>3.4706419063749485</v>
      </c>
      <c r="K13" s="540">
        <f t="shared" si="5"/>
        <v>402732.48770045041</v>
      </c>
      <c r="L13" s="540">
        <f t="shared" si="6"/>
        <v>5889939.1802004501</v>
      </c>
      <c r="N13" s="181"/>
    </row>
    <row r="14" spans="2:14" x14ac:dyDescent="0.25">
      <c r="B14" s="531" t="s">
        <v>51</v>
      </c>
      <c r="C14" s="532">
        <v>2</v>
      </c>
      <c r="D14" s="533">
        <f t="shared" si="0"/>
        <v>1517899.5</v>
      </c>
      <c r="E14" s="534">
        <f>FGP!E14</f>
        <v>0.98991789266473262</v>
      </c>
      <c r="F14" s="535">
        <f t="shared" si="1"/>
        <v>0.69294252486531283</v>
      </c>
      <c r="G14" s="536">
        <f t="shared" si="2"/>
        <v>1.0101847914963207</v>
      </c>
      <c r="H14" s="535">
        <f t="shared" si="3"/>
        <v>10.063323991396631</v>
      </c>
      <c r="I14" s="538">
        <f t="shared" si="4"/>
        <v>3.0189971974189893</v>
      </c>
      <c r="J14" s="539">
        <f>F14+I14</f>
        <v>3.7119397222843022</v>
      </c>
      <c r="K14" s="540">
        <f t="shared" si="5"/>
        <v>430732.63069974974</v>
      </c>
      <c r="L14" s="540">
        <f t="shared" si="6"/>
        <v>1948632.1306997498</v>
      </c>
      <c r="N14" s="181"/>
    </row>
    <row r="15" spans="2:14" x14ac:dyDescent="0.25">
      <c r="B15" s="531" t="s">
        <v>52</v>
      </c>
      <c r="C15" s="532">
        <v>2.67</v>
      </c>
      <c r="D15" s="533">
        <f t="shared" si="0"/>
        <v>2026395.8325</v>
      </c>
      <c r="E15" s="534">
        <f>FGP!E15</f>
        <v>2.3715130283878989</v>
      </c>
      <c r="F15" s="535">
        <f t="shared" si="1"/>
        <v>1.6600591198715291</v>
      </c>
      <c r="G15" s="536">
        <f t="shared" si="2"/>
        <v>0.42167172941056008</v>
      </c>
      <c r="H15" s="535">
        <f t="shared" si="3"/>
        <v>4.2006366229148018</v>
      </c>
      <c r="I15" s="538">
        <f t="shared" si="4"/>
        <v>1.2601909868744405</v>
      </c>
      <c r="J15" s="539">
        <f t="shared" si="7"/>
        <v>2.9202501067459696</v>
      </c>
      <c r="K15" s="540">
        <f t="shared" si="5"/>
        <v>338865.1499992155</v>
      </c>
      <c r="L15" s="540">
        <f t="shared" si="6"/>
        <v>2365260.9824992158</v>
      </c>
      <c r="N15" s="181"/>
    </row>
    <row r="16" spans="2:14" x14ac:dyDescent="0.25">
      <c r="B16" s="531" t="s">
        <v>53</v>
      </c>
      <c r="C16" s="532">
        <v>2.2999999999999998</v>
      </c>
      <c r="D16" s="533">
        <f t="shared" si="0"/>
        <v>1745584.425</v>
      </c>
      <c r="E16" s="534">
        <f>FGP!E16</f>
        <v>1.563876010153336</v>
      </c>
      <c r="F16" s="535">
        <f t="shared" si="1"/>
        <v>1.0947132071073351</v>
      </c>
      <c r="G16" s="536">
        <f t="shared" si="2"/>
        <v>0.63943688214895711</v>
      </c>
      <c r="H16" s="535">
        <f t="shared" si="3"/>
        <v>6.3699835626924477</v>
      </c>
      <c r="I16" s="538">
        <f t="shared" si="4"/>
        <v>1.9109950688077342</v>
      </c>
      <c r="J16" s="539">
        <f t="shared" si="7"/>
        <v>3.0057082759150693</v>
      </c>
      <c r="K16" s="540">
        <f t="shared" si="5"/>
        <v>348781.69627285434</v>
      </c>
      <c r="L16" s="540">
        <f t="shared" si="6"/>
        <v>2094366.1212728545</v>
      </c>
      <c r="N16" s="181"/>
    </row>
    <row r="17" spans="2:14" x14ac:dyDescent="0.25">
      <c r="B17" s="531" t="s">
        <v>54</v>
      </c>
      <c r="C17" s="532">
        <v>2.31</v>
      </c>
      <c r="D17" s="533">
        <f t="shared" si="0"/>
        <v>1753173.9225000001</v>
      </c>
      <c r="E17" s="534">
        <f>FGP!E17</f>
        <v>1.1104401937422297</v>
      </c>
      <c r="F17" s="535">
        <f t="shared" si="1"/>
        <v>0.77730813561956069</v>
      </c>
      <c r="G17" s="536">
        <f t="shared" si="2"/>
        <v>0.90054377141191044</v>
      </c>
      <c r="H17" s="535">
        <f t="shared" si="3"/>
        <v>8.9710950080020968</v>
      </c>
      <c r="I17" s="538">
        <f t="shared" si="4"/>
        <v>2.691328502400629</v>
      </c>
      <c r="J17" s="539">
        <f>F17+I17</f>
        <v>3.4686366380201896</v>
      </c>
      <c r="K17" s="540">
        <f t="shared" si="5"/>
        <v>402499.79682227725</v>
      </c>
      <c r="L17" s="540">
        <f t="shared" si="6"/>
        <v>2155673.7193222772</v>
      </c>
      <c r="N17" s="181"/>
    </row>
    <row r="18" spans="2:14" x14ac:dyDescent="0.25">
      <c r="B18" s="531" t="s">
        <v>55</v>
      </c>
      <c r="C18" s="532">
        <v>5.05</v>
      </c>
      <c r="D18" s="533">
        <f t="shared" si="0"/>
        <v>3832696.2374999998</v>
      </c>
      <c r="E18" s="534">
        <f>FGP!E18</f>
        <v>2.7169725186489848</v>
      </c>
      <c r="F18" s="535">
        <f t="shared" si="1"/>
        <v>1.9018807630542893</v>
      </c>
      <c r="G18" s="536">
        <f t="shared" si="2"/>
        <v>0.36805672237614323</v>
      </c>
      <c r="H18" s="535">
        <f t="shared" si="3"/>
        <v>3.6665311888098664</v>
      </c>
      <c r="I18" s="538">
        <f t="shared" si="4"/>
        <v>1.09995935664296</v>
      </c>
      <c r="J18" s="539">
        <f t="shared" si="7"/>
        <v>3.0018401196972491</v>
      </c>
      <c r="K18" s="540">
        <f t="shared" si="5"/>
        <v>348332.83631598152</v>
      </c>
      <c r="L18" s="540">
        <f t="shared" si="6"/>
        <v>4181029.0738159814</v>
      </c>
      <c r="N18" s="181"/>
    </row>
    <row r="19" spans="2:14" x14ac:dyDescent="0.25">
      <c r="B19" s="531" t="s">
        <v>56</v>
      </c>
      <c r="C19" s="532">
        <v>2.58</v>
      </c>
      <c r="D19" s="533">
        <f t="shared" si="0"/>
        <v>1958090.355</v>
      </c>
      <c r="E19" s="534">
        <f>FGP!E19</f>
        <v>1.9503729796933278</v>
      </c>
      <c r="F19" s="535">
        <f t="shared" si="1"/>
        <v>1.3652610857853293</v>
      </c>
      <c r="G19" s="536">
        <f t="shared" si="2"/>
        <v>0.51272244355909691</v>
      </c>
      <c r="H19" s="535">
        <f t="shared" si="3"/>
        <v>5.1076714979573694</v>
      </c>
      <c r="I19" s="538">
        <f t="shared" si="4"/>
        <v>1.5323014493872107</v>
      </c>
      <c r="J19" s="539">
        <f t="shared" si="7"/>
        <v>2.8975625351725398</v>
      </c>
      <c r="K19" s="540">
        <f t="shared" si="5"/>
        <v>336232.48941764812</v>
      </c>
      <c r="L19" s="540">
        <f t="shared" si="6"/>
        <v>2294322.8444176479</v>
      </c>
      <c r="N19" s="181"/>
    </row>
    <row r="20" spans="2:14" x14ac:dyDescent="0.25">
      <c r="B20" s="531" t="s">
        <v>57</v>
      </c>
      <c r="C20" s="532">
        <v>3.39</v>
      </c>
      <c r="D20" s="533">
        <f t="shared" si="0"/>
        <v>2572839.6524999999</v>
      </c>
      <c r="E20" s="534">
        <f>FGP!E20</f>
        <v>3.3605405615416495</v>
      </c>
      <c r="F20" s="535">
        <f t="shared" si="1"/>
        <v>2.3523783930791544</v>
      </c>
      <c r="G20" s="536">
        <f t="shared" si="2"/>
        <v>0.29757117394864879</v>
      </c>
      <c r="H20" s="535">
        <f t="shared" si="3"/>
        <v>2.9643637076636828</v>
      </c>
      <c r="I20" s="538">
        <f t="shared" si="4"/>
        <v>0.88930911229910481</v>
      </c>
      <c r="J20" s="539">
        <f t="shared" si="7"/>
        <v>3.241687505378259</v>
      </c>
      <c r="K20" s="540">
        <f t="shared" si="5"/>
        <v>376164.67172554537</v>
      </c>
      <c r="L20" s="540">
        <f t="shared" si="6"/>
        <v>2949004.3242255454</v>
      </c>
      <c r="N20" s="181"/>
    </row>
    <row r="21" spans="2:14" x14ac:dyDescent="0.25">
      <c r="B21" s="531" t="s">
        <v>58</v>
      </c>
      <c r="C21" s="532">
        <v>0.82</v>
      </c>
      <c r="D21" s="533">
        <f t="shared" si="0"/>
        <v>622338.79500000004</v>
      </c>
      <c r="E21" s="534">
        <f>FGP!E21</f>
        <v>0.62187564753418989</v>
      </c>
      <c r="F21" s="535">
        <f t="shared" si="1"/>
        <v>0.43531295327393288</v>
      </c>
      <c r="G21" s="536">
        <f t="shared" si="2"/>
        <v>1.6080385266172066</v>
      </c>
      <c r="H21" s="535">
        <f t="shared" si="3"/>
        <v>16.01906187879484</v>
      </c>
      <c r="I21" s="538">
        <f t="shared" si="4"/>
        <v>4.8057185636384521</v>
      </c>
      <c r="J21" s="539">
        <f>F21+I21</f>
        <v>5.2410315169123853</v>
      </c>
      <c r="K21" s="540">
        <f t="shared" si="5"/>
        <v>608168.09047500696</v>
      </c>
      <c r="L21" s="540">
        <f t="shared" si="6"/>
        <v>1230506.8854750069</v>
      </c>
      <c r="N21" s="181"/>
    </row>
    <row r="22" spans="2:14" x14ac:dyDescent="0.25">
      <c r="B22" s="531" t="s">
        <v>59</v>
      </c>
      <c r="C22" s="532">
        <v>2.27</v>
      </c>
      <c r="D22" s="533">
        <f t="shared" si="0"/>
        <v>1722815.9325000001</v>
      </c>
      <c r="E22" s="534">
        <f>FGP!E22</f>
        <v>2.0163405252797348</v>
      </c>
      <c r="F22" s="535">
        <f t="shared" si="1"/>
        <v>1.4114383676958142</v>
      </c>
      <c r="G22" s="536">
        <f t="shared" si="2"/>
        <v>0.49594797479025327</v>
      </c>
      <c r="H22" s="535">
        <f t="shared" si="3"/>
        <v>4.940566513378859</v>
      </c>
      <c r="I22" s="538">
        <f t="shared" si="4"/>
        <v>1.4821699540136577</v>
      </c>
      <c r="J22" s="539">
        <f t="shared" si="7"/>
        <v>2.8936083217094719</v>
      </c>
      <c r="K22" s="540">
        <f t="shared" si="5"/>
        <v>335773.64339785127</v>
      </c>
      <c r="L22" s="540">
        <f t="shared" si="6"/>
        <v>2058589.5758978515</v>
      </c>
      <c r="N22" s="181"/>
    </row>
    <row r="23" spans="2:14" x14ac:dyDescent="0.25">
      <c r="B23" s="531" t="s">
        <v>60</v>
      </c>
      <c r="C23" s="532">
        <v>8.59</v>
      </c>
      <c r="D23" s="533">
        <f t="shared" si="0"/>
        <v>6519378.3525</v>
      </c>
      <c r="E23" s="534">
        <f>FGP!E23</f>
        <v>7.6069888365105687</v>
      </c>
      <c r="F23" s="535">
        <f t="shared" si="1"/>
        <v>5.3248921855573981</v>
      </c>
      <c r="G23" s="536">
        <f t="shared" si="2"/>
        <v>0.13145806067183791</v>
      </c>
      <c r="H23" s="535">
        <f t="shared" si="3"/>
        <v>1.3095673850542211</v>
      </c>
      <c r="I23" s="538">
        <f t="shared" si="4"/>
        <v>0.39287021551626633</v>
      </c>
      <c r="J23" s="539">
        <f t="shared" si="7"/>
        <v>5.7177624010736645</v>
      </c>
      <c r="K23" s="540">
        <f t="shared" si="5"/>
        <v>663487.83250579564</v>
      </c>
      <c r="L23" s="540">
        <f t="shared" si="6"/>
        <v>7182866.1850057952</v>
      </c>
      <c r="N23" s="181"/>
    </row>
    <row r="24" spans="2:14" x14ac:dyDescent="0.25">
      <c r="B24" s="531" t="s">
        <v>61</v>
      </c>
      <c r="C24" s="532">
        <v>4.55</v>
      </c>
      <c r="D24" s="533">
        <f t="shared" si="0"/>
        <v>3453221.3624999998</v>
      </c>
      <c r="E24" s="534">
        <f>FGP!E24</f>
        <v>3.0057727673021133</v>
      </c>
      <c r="F24" s="535">
        <f t="shared" si="1"/>
        <v>2.104040937111479</v>
      </c>
      <c r="G24" s="536">
        <f t="shared" si="2"/>
        <v>0.33269314662717114</v>
      </c>
      <c r="H24" s="535">
        <f t="shared" si="3"/>
        <v>3.3142440397140369</v>
      </c>
      <c r="I24" s="538">
        <f t="shared" si="4"/>
        <v>0.99427321191421103</v>
      </c>
      <c r="J24" s="539">
        <f t="shared" si="7"/>
        <v>3.0983141490256898</v>
      </c>
      <c r="K24" s="540">
        <f t="shared" si="5"/>
        <v>359527.66046610847</v>
      </c>
      <c r="L24" s="540">
        <f t="shared" si="6"/>
        <v>3812749.0229661083</v>
      </c>
      <c r="N24" s="181"/>
    </row>
    <row r="25" spans="2:14" x14ac:dyDescent="0.25">
      <c r="B25" s="531" t="s">
        <v>62</v>
      </c>
      <c r="C25" s="532">
        <v>29.02</v>
      </c>
      <c r="D25" s="533">
        <f t="shared" si="0"/>
        <v>22024721.745000001</v>
      </c>
      <c r="E25" s="534">
        <f>FGP!E25</f>
        <v>34.475044032324909</v>
      </c>
      <c r="F25" s="535">
        <f t="shared" si="1"/>
        <v>24.132530822627434</v>
      </c>
      <c r="G25" s="536">
        <f t="shared" si="2"/>
        <v>2.9006489420647812E-2</v>
      </c>
      <c r="H25" s="535">
        <f t="shared" si="3"/>
        <v>0.28895871661324735</v>
      </c>
      <c r="I25" s="538">
        <f t="shared" si="4"/>
        <v>8.6687614983974204E-2</v>
      </c>
      <c r="J25" s="539">
        <f t="shared" si="7"/>
        <v>24.219218437611406</v>
      </c>
      <c r="K25" s="540">
        <f t="shared" si="5"/>
        <v>2810392.5310253846</v>
      </c>
      <c r="L25" s="540">
        <f t="shared" si="6"/>
        <v>24835114.276025385</v>
      </c>
      <c r="N25" s="181"/>
    </row>
    <row r="26" spans="2:14" x14ac:dyDescent="0.25">
      <c r="B26" s="531" t="s">
        <v>63</v>
      </c>
      <c r="C26" s="532">
        <v>2.73</v>
      </c>
      <c r="D26" s="533">
        <f t="shared" si="0"/>
        <v>2071932.8174999999</v>
      </c>
      <c r="E26" s="534">
        <f>FGP!E26</f>
        <v>2.4334334852880231</v>
      </c>
      <c r="F26" s="535">
        <f t="shared" si="1"/>
        <v>1.703403439701616</v>
      </c>
      <c r="G26" s="536">
        <f t="shared" si="2"/>
        <v>0.41094199042043644</v>
      </c>
      <c r="H26" s="535">
        <f t="shared" si="3"/>
        <v>4.0937484172026606</v>
      </c>
      <c r="I26" s="538">
        <f t="shared" si="4"/>
        <v>1.2281245251607982</v>
      </c>
      <c r="J26" s="539">
        <f t="shared" si="7"/>
        <v>2.931527964862414</v>
      </c>
      <c r="K26" s="540">
        <f t="shared" si="5"/>
        <v>340173.83005832083</v>
      </c>
      <c r="L26" s="540">
        <f t="shared" si="6"/>
        <v>2412106.6475583208</v>
      </c>
      <c r="N26" s="181"/>
    </row>
    <row r="27" spans="2:14" ht="15.75" thickBot="1" x14ac:dyDescent="0.3">
      <c r="B27" s="531" t="s">
        <v>64</v>
      </c>
      <c r="C27" s="532">
        <v>3.89</v>
      </c>
      <c r="D27" s="533">
        <f t="shared" si="0"/>
        <v>2952314.5274999999</v>
      </c>
      <c r="E27" s="534">
        <f>FGP!E27</f>
        <v>5.2797509583506006</v>
      </c>
      <c r="F27" s="535">
        <f t="shared" si="1"/>
        <v>3.6958256708454202</v>
      </c>
      <c r="G27" s="536">
        <f t="shared" si="2"/>
        <v>0.18940287295528063</v>
      </c>
      <c r="H27" s="535">
        <f t="shared" si="3"/>
        <v>1.8868057522694013</v>
      </c>
      <c r="I27" s="538">
        <f t="shared" si="4"/>
        <v>0.56604172568082034</v>
      </c>
      <c r="J27" s="539">
        <f t="shared" si="7"/>
        <v>4.2618673965262408</v>
      </c>
      <c r="K27" s="540">
        <f t="shared" si="5"/>
        <v>494546.11139793729</v>
      </c>
      <c r="L27" s="540">
        <f t="shared" si="6"/>
        <v>3446860.6388979373</v>
      </c>
      <c r="N27" s="181"/>
    </row>
    <row r="28" spans="2:14" ht="15.75" thickBot="1" x14ac:dyDescent="0.3">
      <c r="B28" s="541" t="s">
        <v>65</v>
      </c>
      <c r="C28" s="542">
        <f t="shared" ref="C28:I28" si="8">SUM(C8:C27)</f>
        <v>100</v>
      </c>
      <c r="D28" s="875">
        <f>Datos!K40</f>
        <v>75894975</v>
      </c>
      <c r="E28" s="543">
        <f t="shared" si="8"/>
        <v>100</v>
      </c>
      <c r="F28" s="544">
        <f t="shared" si="8"/>
        <v>70</v>
      </c>
      <c r="G28" s="545">
        <f t="shared" si="8"/>
        <v>10.038281509767062</v>
      </c>
      <c r="H28" s="544">
        <f t="shared" si="8"/>
        <v>99.999999999999986</v>
      </c>
      <c r="I28" s="546">
        <f t="shared" si="8"/>
        <v>29.999999999999993</v>
      </c>
      <c r="J28" s="547">
        <f t="shared" si="7"/>
        <v>100</v>
      </c>
      <c r="K28" s="548">
        <f>Datos!K41</f>
        <v>11603976.975000009</v>
      </c>
      <c r="L28" s="548">
        <f>SUM(L8:L27)</f>
        <v>87498951.974999994</v>
      </c>
      <c r="N28" s="181"/>
    </row>
    <row r="29" spans="2:14" x14ac:dyDescent="0.25">
      <c r="B29" s="549" t="s">
        <v>323</v>
      </c>
      <c r="D29" s="550"/>
      <c r="E29" s="551"/>
      <c r="F29" s="5"/>
      <c r="G29" s="5"/>
      <c r="H29" s="5"/>
      <c r="I29" s="5"/>
      <c r="J29" s="74"/>
      <c r="K29" s="5"/>
    </row>
    <row r="30" spans="2:14" ht="6.75" customHeight="1" x14ac:dyDescent="0.25"/>
    <row r="31" spans="2:14" x14ac:dyDescent="0.25">
      <c r="C31" t="s">
        <v>324</v>
      </c>
      <c r="E31"/>
      <c r="G31" s="9"/>
      <c r="H31" s="9"/>
      <c r="J31" s="129"/>
      <c r="K31" s="129"/>
    </row>
    <row r="32" spans="2:14" ht="31.5" customHeight="1" x14ac:dyDescent="0.25">
      <c r="C32" s="1116" t="s">
        <v>327</v>
      </c>
      <c r="D32" s="1116"/>
      <c r="E32" s="1116"/>
      <c r="F32" s="1116"/>
      <c r="G32" s="1116"/>
      <c r="H32" s="1116"/>
      <c r="I32" s="1116"/>
      <c r="J32" s="1116"/>
      <c r="K32" s="1116"/>
    </row>
    <row r="33" spans="3:21" x14ac:dyDescent="0.25">
      <c r="C33" s="1117" t="s">
        <v>376</v>
      </c>
      <c r="D33" s="1117"/>
      <c r="E33" s="1117"/>
      <c r="F33" s="1117"/>
      <c r="G33" s="1117"/>
      <c r="H33" s="1117"/>
      <c r="I33" s="1117"/>
      <c r="J33" s="1117"/>
      <c r="K33" s="1117"/>
    </row>
    <row r="34" spans="3:21" ht="40.5" customHeight="1" x14ac:dyDescent="0.25">
      <c r="C34" s="1118" t="s">
        <v>325</v>
      </c>
      <c r="D34" s="1118"/>
      <c r="E34" s="1118"/>
      <c r="F34" s="1118"/>
      <c r="G34" s="1118"/>
      <c r="H34" s="1118"/>
      <c r="I34" s="1118"/>
      <c r="J34" s="1118"/>
      <c r="K34" s="1118"/>
    </row>
    <row r="35" spans="3:21" ht="26.25" customHeight="1" x14ac:dyDescent="0.25">
      <c r="C35" s="1118"/>
      <c r="D35" s="1118"/>
      <c r="E35" s="1118"/>
      <c r="F35" s="1118"/>
      <c r="G35" s="1118"/>
      <c r="H35" s="1118"/>
      <c r="I35" s="1118"/>
      <c r="J35" s="1118"/>
      <c r="K35" s="1118"/>
      <c r="L35" s="497"/>
      <c r="M35" s="497"/>
      <c r="N35" s="497"/>
      <c r="O35" s="497"/>
      <c r="P35" s="497"/>
      <c r="Q35" s="497"/>
      <c r="R35" s="497"/>
      <c r="S35" s="497"/>
      <c r="T35" s="497"/>
      <c r="U35" s="497"/>
    </row>
  </sheetData>
  <mergeCells count="18">
    <mergeCell ref="C32:K32"/>
    <mergeCell ref="C33:K33"/>
    <mergeCell ref="C35:K35"/>
    <mergeCell ref="C34:K34"/>
    <mergeCell ref="B1:L1"/>
    <mergeCell ref="B3:B7"/>
    <mergeCell ref="C3:C6"/>
    <mergeCell ref="D3:D6"/>
    <mergeCell ref="E3:F3"/>
    <mergeCell ref="G3:I3"/>
    <mergeCell ref="J3:J6"/>
    <mergeCell ref="K3:K5"/>
    <mergeCell ref="E4:E6"/>
    <mergeCell ref="F4:F5"/>
    <mergeCell ref="G4:G6"/>
    <mergeCell ref="H4:H6"/>
    <mergeCell ref="I4:I6"/>
    <mergeCell ref="B2:L2"/>
  </mergeCells>
  <pageMargins left="0.70866141732283472" right="0.70866141732283472" top="0.74803149606299213" bottom="0.74803149606299213" header="0.31496062992125984" footer="0.31496062992125984"/>
  <pageSetup paperSize="5"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30"/>
  <sheetViews>
    <sheetView workbookViewId="0">
      <selection activeCell="B1" sqref="B1:G2"/>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9" customWidth="1"/>
    <col min="6" max="6" width="14.28515625" style="129" customWidth="1"/>
    <col min="7" max="7" width="15.42578125" style="129" customWidth="1"/>
    <col min="8" max="8" width="18.42578125" customWidth="1"/>
    <col min="9" max="9" width="19" customWidth="1"/>
    <col min="10" max="10" width="12.85546875" customWidth="1"/>
    <col min="12" max="12" width="12.7109375" bestFit="1" customWidth="1"/>
    <col min="13" max="13" width="11.5703125" bestFit="1" customWidth="1"/>
    <col min="14" max="14" width="12.7109375" bestFit="1" customWidth="1"/>
  </cols>
  <sheetData>
    <row r="1" spans="2:14" ht="15" customHeight="1" x14ac:dyDescent="0.25">
      <c r="B1" s="1119" t="s">
        <v>442</v>
      </c>
      <c r="C1" s="1119"/>
      <c r="D1" s="1119"/>
      <c r="E1" s="1119"/>
      <c r="F1" s="1119"/>
      <c r="G1" s="1119"/>
    </row>
    <row r="2" spans="2:14" ht="15" customHeight="1" x14ac:dyDescent="0.25">
      <c r="B2" s="1119"/>
      <c r="C2" s="1119"/>
      <c r="D2" s="1119"/>
      <c r="E2" s="1119"/>
      <c r="F2" s="1119"/>
      <c r="G2" s="1119"/>
    </row>
    <row r="3" spans="2:14" x14ac:dyDescent="0.25">
      <c r="B3" s="958"/>
      <c r="C3" s="958"/>
      <c r="D3" s="958"/>
      <c r="E3" s="958"/>
      <c r="F3" s="958"/>
      <c r="G3" s="958"/>
    </row>
    <row r="4" spans="2:14" ht="15.75" thickBot="1" x14ac:dyDescent="0.3"/>
    <row r="5" spans="2:14" ht="30" customHeight="1" x14ac:dyDescent="0.25">
      <c r="B5" s="1120" t="s">
        <v>83</v>
      </c>
      <c r="C5" s="1122" t="s">
        <v>243</v>
      </c>
      <c r="D5" s="1122" t="s">
        <v>198</v>
      </c>
      <c r="E5" s="1124" t="s">
        <v>443</v>
      </c>
      <c r="F5" s="1126" t="s">
        <v>444</v>
      </c>
      <c r="G5" s="1128" t="s">
        <v>244</v>
      </c>
    </row>
    <row r="6" spans="2:14" x14ac:dyDescent="0.25">
      <c r="B6" s="1121"/>
      <c r="C6" s="1123"/>
      <c r="D6" s="1123"/>
      <c r="E6" s="1125"/>
      <c r="F6" s="1127"/>
      <c r="G6" s="1129"/>
    </row>
    <row r="7" spans="2:14" x14ac:dyDescent="0.25">
      <c r="B7" s="1121"/>
      <c r="C7" s="1123"/>
      <c r="D7" s="1123"/>
      <c r="E7" s="1125"/>
      <c r="F7" s="1127"/>
      <c r="G7" s="1129"/>
    </row>
    <row r="8" spans="2:14" ht="15.75" thickBot="1" x14ac:dyDescent="0.3">
      <c r="B8" s="1121"/>
      <c r="C8" s="120" t="s">
        <v>70</v>
      </c>
      <c r="D8" s="310" t="s">
        <v>97</v>
      </c>
      <c r="E8" s="511" t="s">
        <v>71</v>
      </c>
      <c r="F8" s="499" t="s">
        <v>98</v>
      </c>
      <c r="G8" s="500" t="s">
        <v>299</v>
      </c>
    </row>
    <row r="9" spans="2:14" x14ac:dyDescent="0.25">
      <c r="B9" s="347" t="s">
        <v>45</v>
      </c>
      <c r="C9" s="348">
        <v>3.94</v>
      </c>
      <c r="D9" s="349">
        <f>$D$29*C9/100</f>
        <v>812034</v>
      </c>
      <c r="E9" s="350">
        <v>0.05</v>
      </c>
      <c r="F9" s="351">
        <f>$F$29*E9</f>
        <v>691083.9</v>
      </c>
      <c r="G9" s="428">
        <f t="shared" ref="G9:G28" si="0">D9+F9</f>
        <v>1503117.9</v>
      </c>
      <c r="H9" s="131"/>
      <c r="I9" s="181"/>
      <c r="J9" s="104"/>
      <c r="L9" s="104"/>
      <c r="M9" s="104"/>
      <c r="N9" s="104"/>
    </row>
    <row r="10" spans="2:14" x14ac:dyDescent="0.25">
      <c r="B10" s="352" t="s">
        <v>46</v>
      </c>
      <c r="C10" s="353">
        <v>5.78</v>
      </c>
      <c r="D10" s="349">
        <f t="shared" ref="D10:D28" si="1">$D$29*C10/100</f>
        <v>1191258</v>
      </c>
      <c r="E10" s="354">
        <v>0.05</v>
      </c>
      <c r="F10" s="351">
        <f t="shared" ref="F10:F27" si="2">$F$29*E10</f>
        <v>691083.9</v>
      </c>
      <c r="G10" s="429">
        <f t="shared" si="0"/>
        <v>1882341.9</v>
      </c>
      <c r="H10" s="131"/>
      <c r="I10" s="181"/>
      <c r="J10" s="104"/>
      <c r="L10" s="104"/>
      <c r="M10" s="104"/>
      <c r="N10" s="104"/>
    </row>
    <row r="11" spans="2:14" x14ac:dyDescent="0.25">
      <c r="B11" s="352" t="s">
        <v>47</v>
      </c>
      <c r="C11" s="353">
        <v>6.12</v>
      </c>
      <c r="D11" s="349">
        <f t="shared" si="1"/>
        <v>1261332</v>
      </c>
      <c r="E11" s="354">
        <v>0.05</v>
      </c>
      <c r="F11" s="351">
        <f t="shared" si="2"/>
        <v>691083.9</v>
      </c>
      <c r="G11" s="429">
        <f t="shared" si="0"/>
        <v>1952415.9</v>
      </c>
      <c r="H11" s="131"/>
      <c r="I11" s="181"/>
      <c r="J11" s="104"/>
      <c r="L11" s="104"/>
      <c r="M11" s="104"/>
      <c r="N11" s="104"/>
    </row>
    <row r="12" spans="2:14" x14ac:dyDescent="0.25">
      <c r="B12" s="352" t="s">
        <v>48</v>
      </c>
      <c r="C12" s="353">
        <v>5.08</v>
      </c>
      <c r="D12" s="349">
        <f t="shared" si="1"/>
        <v>1046988</v>
      </c>
      <c r="E12" s="354">
        <v>0.05</v>
      </c>
      <c r="F12" s="351">
        <f t="shared" si="2"/>
        <v>691083.9</v>
      </c>
      <c r="G12" s="429">
        <f t="shared" si="0"/>
        <v>1738071.9</v>
      </c>
      <c r="H12" s="131"/>
      <c r="I12" s="181"/>
      <c r="J12" s="104"/>
      <c r="L12" s="104"/>
      <c r="M12" s="104"/>
      <c r="N12" s="104"/>
    </row>
    <row r="13" spans="2:14" x14ac:dyDescent="0.25">
      <c r="B13" s="352" t="s">
        <v>49</v>
      </c>
      <c r="C13" s="353">
        <v>3.07</v>
      </c>
      <c r="D13" s="349">
        <f t="shared" si="1"/>
        <v>632727</v>
      </c>
      <c r="E13" s="354">
        <v>0.05</v>
      </c>
      <c r="F13" s="351">
        <f t="shared" si="2"/>
        <v>691083.9</v>
      </c>
      <c r="G13" s="429">
        <f t="shared" si="0"/>
        <v>1323810.8999999999</v>
      </c>
      <c r="H13" s="131"/>
      <c r="I13" s="181"/>
      <c r="J13" s="104"/>
      <c r="L13" s="104"/>
      <c r="M13" s="104"/>
      <c r="N13" s="104"/>
    </row>
    <row r="14" spans="2:14" x14ac:dyDescent="0.25">
      <c r="B14" s="352" t="s">
        <v>50</v>
      </c>
      <c r="C14" s="353">
        <v>9.51</v>
      </c>
      <c r="D14" s="349">
        <f t="shared" si="1"/>
        <v>1960011</v>
      </c>
      <c r="E14" s="354">
        <v>0.05</v>
      </c>
      <c r="F14" s="351">
        <f t="shared" si="2"/>
        <v>691083.9</v>
      </c>
      <c r="G14" s="429">
        <f t="shared" si="0"/>
        <v>2651094.9</v>
      </c>
      <c r="H14" s="131"/>
      <c r="I14" s="181"/>
      <c r="J14" s="104"/>
      <c r="L14" s="104"/>
      <c r="M14" s="104"/>
      <c r="N14" s="104"/>
    </row>
    <row r="15" spans="2:14" x14ac:dyDescent="0.25">
      <c r="B15" s="352" t="s">
        <v>51</v>
      </c>
      <c r="C15" s="353">
        <v>9.33</v>
      </c>
      <c r="D15" s="349">
        <f t="shared" si="1"/>
        <v>1922913</v>
      </c>
      <c r="E15" s="354">
        <v>0.05</v>
      </c>
      <c r="F15" s="351">
        <f t="shared" si="2"/>
        <v>691083.9</v>
      </c>
      <c r="G15" s="429">
        <f t="shared" si="0"/>
        <v>2613996.9</v>
      </c>
      <c r="H15" s="131"/>
      <c r="I15" s="181"/>
      <c r="J15" s="104"/>
      <c r="L15" s="104"/>
      <c r="M15" s="104"/>
      <c r="N15" s="104"/>
    </row>
    <row r="16" spans="2:14" x14ac:dyDescent="0.25">
      <c r="B16" s="352" t="s">
        <v>52</v>
      </c>
      <c r="C16" s="353">
        <v>4.5199999999999996</v>
      </c>
      <c r="D16" s="349">
        <f t="shared" si="1"/>
        <v>931571.99999999988</v>
      </c>
      <c r="E16" s="354">
        <v>0.05</v>
      </c>
      <c r="F16" s="351">
        <f t="shared" si="2"/>
        <v>691083.9</v>
      </c>
      <c r="G16" s="429">
        <f t="shared" si="0"/>
        <v>1622655.9</v>
      </c>
      <c r="H16" s="131"/>
      <c r="I16" s="181"/>
      <c r="J16" s="104"/>
      <c r="L16" s="104"/>
      <c r="M16" s="104"/>
      <c r="N16" s="104"/>
    </row>
    <row r="17" spans="2:17" x14ac:dyDescent="0.25">
      <c r="B17" s="352" t="s">
        <v>53</v>
      </c>
      <c r="C17" s="353">
        <v>5.08</v>
      </c>
      <c r="D17" s="349">
        <f t="shared" si="1"/>
        <v>1046988</v>
      </c>
      <c r="E17" s="354">
        <v>0.05</v>
      </c>
      <c r="F17" s="351">
        <f t="shared" si="2"/>
        <v>691083.9</v>
      </c>
      <c r="G17" s="429">
        <f t="shared" si="0"/>
        <v>1738071.9</v>
      </c>
      <c r="H17" s="131"/>
      <c r="I17" s="181"/>
      <c r="J17" s="104"/>
      <c r="L17" s="104"/>
      <c r="M17" s="104"/>
      <c r="N17" s="104"/>
    </row>
    <row r="18" spans="2:17" x14ac:dyDescent="0.25">
      <c r="B18" s="352" t="s">
        <v>54</v>
      </c>
      <c r="C18" s="353">
        <v>8.92</v>
      </c>
      <c r="D18" s="349">
        <f t="shared" si="1"/>
        <v>1838412</v>
      </c>
      <c r="E18" s="354">
        <v>0.05</v>
      </c>
      <c r="F18" s="351">
        <f t="shared" si="2"/>
        <v>691083.9</v>
      </c>
      <c r="G18" s="429">
        <f t="shared" si="0"/>
        <v>2529495.9</v>
      </c>
      <c r="H18" s="131"/>
      <c r="I18" s="181"/>
      <c r="J18" s="104"/>
      <c r="L18" s="104"/>
      <c r="M18" s="104"/>
      <c r="N18" s="104"/>
    </row>
    <row r="19" spans="2:17" x14ac:dyDescent="0.25">
      <c r="B19" s="352" t="s">
        <v>55</v>
      </c>
      <c r="C19" s="353">
        <v>5.0199999999999996</v>
      </c>
      <c r="D19" s="349">
        <f t="shared" si="1"/>
        <v>1034621.9999999999</v>
      </c>
      <c r="E19" s="354">
        <v>0.05</v>
      </c>
      <c r="F19" s="351">
        <f t="shared" si="2"/>
        <v>691083.9</v>
      </c>
      <c r="G19" s="429">
        <f t="shared" si="0"/>
        <v>1725705.9</v>
      </c>
      <c r="H19" s="131"/>
      <c r="I19" s="181"/>
      <c r="J19" s="104"/>
      <c r="L19" s="104"/>
      <c r="M19" s="104"/>
      <c r="N19" s="104"/>
    </row>
    <row r="20" spans="2:17" x14ac:dyDescent="0.25">
      <c r="B20" s="352" t="s">
        <v>56</v>
      </c>
      <c r="C20" s="353">
        <v>4.29</v>
      </c>
      <c r="D20" s="349">
        <f t="shared" si="1"/>
        <v>884169</v>
      </c>
      <c r="E20" s="354">
        <v>0.05</v>
      </c>
      <c r="F20" s="351">
        <f t="shared" si="2"/>
        <v>691083.9</v>
      </c>
      <c r="G20" s="429">
        <f t="shared" si="0"/>
        <v>1575252.9</v>
      </c>
      <c r="H20" s="131"/>
      <c r="I20" s="181"/>
      <c r="J20" s="104"/>
      <c r="L20" s="104"/>
      <c r="M20" s="104"/>
      <c r="N20" s="104"/>
    </row>
    <row r="21" spans="2:17" x14ac:dyDescent="0.25">
      <c r="B21" s="352" t="s">
        <v>57</v>
      </c>
      <c r="C21" s="353">
        <v>3.04</v>
      </c>
      <c r="D21" s="349">
        <f t="shared" si="1"/>
        <v>626544</v>
      </c>
      <c r="E21" s="354">
        <v>0.05</v>
      </c>
      <c r="F21" s="351">
        <f t="shared" si="2"/>
        <v>691083.9</v>
      </c>
      <c r="G21" s="429">
        <f t="shared" si="0"/>
        <v>1317627.8999999999</v>
      </c>
      <c r="H21" s="131"/>
      <c r="I21" s="181"/>
      <c r="J21" s="104"/>
      <c r="L21" s="104"/>
      <c r="M21" s="104"/>
      <c r="N21" s="104"/>
    </row>
    <row r="22" spans="2:17" x14ac:dyDescent="0.25">
      <c r="B22" s="352" t="s">
        <v>58</v>
      </c>
      <c r="C22" s="353">
        <v>6.7</v>
      </c>
      <c r="D22" s="349">
        <f t="shared" si="1"/>
        <v>1380870</v>
      </c>
      <c r="E22" s="354">
        <v>0.05</v>
      </c>
      <c r="F22" s="351">
        <f t="shared" si="2"/>
        <v>691083.9</v>
      </c>
      <c r="G22" s="429">
        <f t="shared" si="0"/>
        <v>2071953.9</v>
      </c>
      <c r="H22" s="131"/>
      <c r="I22" s="181"/>
      <c r="J22" s="104"/>
      <c r="L22" s="104"/>
      <c r="M22" s="104"/>
      <c r="N22" s="104"/>
    </row>
    <row r="23" spans="2:17" x14ac:dyDescent="0.25">
      <c r="B23" s="352" t="s">
        <v>59</v>
      </c>
      <c r="C23" s="353">
        <v>5.08</v>
      </c>
      <c r="D23" s="349">
        <f t="shared" si="1"/>
        <v>1046988</v>
      </c>
      <c r="E23" s="354">
        <v>0.05</v>
      </c>
      <c r="F23" s="351">
        <f t="shared" si="2"/>
        <v>691083.9</v>
      </c>
      <c r="G23" s="429">
        <f t="shared" si="0"/>
        <v>1738071.9</v>
      </c>
      <c r="H23" s="131"/>
      <c r="I23" s="181"/>
      <c r="J23" s="104"/>
      <c r="L23" s="104"/>
      <c r="M23" s="104"/>
      <c r="N23" s="104"/>
    </row>
    <row r="24" spans="2:17" x14ac:dyDescent="0.25">
      <c r="B24" s="352" t="s">
        <v>60</v>
      </c>
      <c r="C24" s="353">
        <v>1.7</v>
      </c>
      <c r="D24" s="349">
        <f t="shared" si="1"/>
        <v>350370</v>
      </c>
      <c r="E24" s="354">
        <v>0.05</v>
      </c>
      <c r="F24" s="351">
        <f t="shared" si="2"/>
        <v>691083.9</v>
      </c>
      <c r="G24" s="429">
        <f t="shared" si="0"/>
        <v>1041453.9</v>
      </c>
      <c r="H24" s="131"/>
      <c r="I24" s="181"/>
      <c r="J24" s="104"/>
      <c r="L24" s="104"/>
      <c r="M24" s="104"/>
      <c r="N24" s="104"/>
    </row>
    <row r="25" spans="2:17" x14ac:dyDescent="0.25">
      <c r="B25" s="352" t="s">
        <v>61</v>
      </c>
      <c r="C25" s="353">
        <v>4.08</v>
      </c>
      <c r="D25" s="349">
        <f t="shared" si="1"/>
        <v>840888</v>
      </c>
      <c r="E25" s="354">
        <v>0.05</v>
      </c>
      <c r="F25" s="351">
        <f t="shared" si="2"/>
        <v>691083.9</v>
      </c>
      <c r="G25" s="429">
        <f t="shared" si="0"/>
        <v>1531971.9</v>
      </c>
      <c r="H25" s="131"/>
      <c r="I25" s="181"/>
      <c r="J25" s="104"/>
      <c r="L25" s="104"/>
      <c r="M25" s="104"/>
      <c r="N25" s="104"/>
    </row>
    <row r="26" spans="2:17" x14ac:dyDescent="0.25">
      <c r="B26" s="352" t="s">
        <v>62</v>
      </c>
      <c r="C26" s="353">
        <v>0.37</v>
      </c>
      <c r="D26" s="349">
        <f t="shared" si="1"/>
        <v>76257</v>
      </c>
      <c r="E26" s="354">
        <v>0.05</v>
      </c>
      <c r="F26" s="351">
        <f t="shared" si="2"/>
        <v>691083.9</v>
      </c>
      <c r="G26" s="429">
        <f t="shared" si="0"/>
        <v>767340.9</v>
      </c>
      <c r="H26" s="131"/>
      <c r="I26" s="181"/>
      <c r="J26" s="104"/>
      <c r="L26" s="104"/>
      <c r="M26" s="104"/>
      <c r="N26" s="104"/>
    </row>
    <row r="27" spans="2:17" x14ac:dyDescent="0.25">
      <c r="B27" s="352" t="s">
        <v>63</v>
      </c>
      <c r="C27" s="353">
        <v>3.77</v>
      </c>
      <c r="D27" s="349">
        <f t="shared" si="1"/>
        <v>776997</v>
      </c>
      <c r="E27" s="354">
        <v>0.05</v>
      </c>
      <c r="F27" s="351">
        <f t="shared" si="2"/>
        <v>691083.9</v>
      </c>
      <c r="G27" s="429">
        <f t="shared" si="0"/>
        <v>1468080.9</v>
      </c>
      <c r="H27" s="131"/>
      <c r="I27" s="181"/>
      <c r="J27" s="104"/>
      <c r="L27" s="104"/>
      <c r="M27" s="104"/>
      <c r="N27" s="104"/>
    </row>
    <row r="28" spans="2:17" ht="15.75" thickBot="1" x14ac:dyDescent="0.3">
      <c r="B28" s="355" t="s">
        <v>64</v>
      </c>
      <c r="C28" s="356">
        <v>4.5999999999999996</v>
      </c>
      <c r="D28" s="357">
        <f t="shared" si="1"/>
        <v>948060</v>
      </c>
      <c r="E28" s="358">
        <v>0.05</v>
      </c>
      <c r="F28" s="351">
        <f>$F$29*E28</f>
        <v>691083.9</v>
      </c>
      <c r="G28" s="429">
        <f t="shared" si="0"/>
        <v>1639143.9</v>
      </c>
      <c r="H28" s="131"/>
      <c r="I28" s="181"/>
      <c r="J28" s="104"/>
      <c r="L28" s="104"/>
      <c r="M28" s="104"/>
      <c r="N28" s="104"/>
    </row>
    <row r="29" spans="2:17" ht="15.75" thickBot="1" x14ac:dyDescent="0.3">
      <c r="B29" s="284" t="s">
        <v>65</v>
      </c>
      <c r="C29" s="359">
        <f t="shared" ref="C29" si="3">SUM(C9:C28)</f>
        <v>100</v>
      </c>
      <c r="D29" s="286">
        <f>Datos!K50</f>
        <v>20610000</v>
      </c>
      <c r="E29" s="303">
        <v>100</v>
      </c>
      <c r="F29" s="360">
        <f>Datos!K51</f>
        <v>13821678</v>
      </c>
      <c r="G29" s="361">
        <f>SUM(G9:G28)</f>
        <v>34431677.999999985</v>
      </c>
      <c r="H29" s="488"/>
      <c r="I29" s="137"/>
      <c r="J29" s="594"/>
      <c r="K29" s="137"/>
      <c r="L29" s="594"/>
      <c r="M29" s="594"/>
      <c r="N29" s="594"/>
      <c r="O29" s="137"/>
      <c r="P29" s="137"/>
      <c r="Q29" s="137"/>
    </row>
    <row r="30" spans="2:17" x14ac:dyDescent="0.25">
      <c r="B30" s="1086" t="s">
        <v>295</v>
      </c>
      <c r="C30" s="1086"/>
      <c r="D30" s="1086"/>
      <c r="E30" s="1086"/>
      <c r="F30" s="1086"/>
      <c r="G30" s="1086"/>
      <c r="H30" s="487"/>
      <c r="I30" s="487"/>
      <c r="J30" s="595"/>
      <c r="K30" s="487"/>
      <c r="L30" s="487"/>
      <c r="M30" s="487"/>
      <c r="N30" s="487"/>
      <c r="O30" s="487"/>
      <c r="P30" s="487"/>
      <c r="Q30" s="487"/>
    </row>
  </sheetData>
  <mergeCells count="8">
    <mergeCell ref="B30:G30"/>
    <mergeCell ref="B1:G2"/>
    <mergeCell ref="B5:B8"/>
    <mergeCell ref="D5:D7"/>
    <mergeCell ref="C5:C7"/>
    <mergeCell ref="E5:E7"/>
    <mergeCell ref="F5:F7"/>
    <mergeCell ref="G5:G7"/>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T33"/>
  <sheetViews>
    <sheetView workbookViewId="0">
      <selection activeCell="B1" sqref="B1:H1"/>
    </sheetView>
  </sheetViews>
  <sheetFormatPr baseColWidth="10" defaultColWidth="11.42578125" defaultRowHeight="14.25" x14ac:dyDescent="0.2"/>
  <cols>
    <col min="1" max="1" width="3.5703125" style="8" customWidth="1"/>
    <col min="2" max="2" width="20.42578125" style="8" customWidth="1"/>
    <col min="3" max="3" width="13.28515625" style="8" bestFit="1" customWidth="1"/>
    <col min="4" max="4" width="12.140625" style="8" bestFit="1" customWidth="1"/>
    <col min="5" max="5" width="10.140625" style="8" bestFit="1" customWidth="1"/>
    <col min="6" max="6" width="12.42578125" style="8" bestFit="1" customWidth="1"/>
    <col min="7" max="7" width="13.7109375" style="8" customWidth="1"/>
    <col min="8" max="8" width="13.28515625" style="57" bestFit="1" customWidth="1"/>
    <col min="9" max="16384" width="11.42578125" style="8"/>
  </cols>
  <sheetData>
    <row r="1" spans="2:8" ht="15" customHeight="1" x14ac:dyDescent="0.2">
      <c r="B1" s="1119" t="s">
        <v>445</v>
      </c>
      <c r="C1" s="1119"/>
      <c r="D1" s="1119"/>
      <c r="E1" s="1119"/>
      <c r="F1" s="1119"/>
      <c r="G1" s="1119"/>
      <c r="H1" s="1119"/>
    </row>
    <row r="2" spans="2:8" ht="15" customHeight="1" x14ac:dyDescent="0.2">
      <c r="B2" s="956"/>
      <c r="C2" s="956"/>
      <c r="D2" s="956"/>
      <c r="E2" s="956"/>
      <c r="F2" s="956"/>
      <c r="G2" s="956"/>
      <c r="H2" s="956"/>
    </row>
    <row r="3" spans="2:8" ht="15" thickBot="1" x14ac:dyDescent="0.25"/>
    <row r="4" spans="2:8" ht="30" customHeight="1" x14ac:dyDescent="0.25">
      <c r="B4" s="1090" t="s">
        <v>83</v>
      </c>
      <c r="C4" s="362" t="s">
        <v>84</v>
      </c>
      <c r="D4" s="362" t="s">
        <v>20</v>
      </c>
      <c r="E4" s="1132" t="s">
        <v>21</v>
      </c>
      <c r="F4" s="1132"/>
      <c r="G4" s="1132" t="s">
        <v>446</v>
      </c>
      <c r="H4" s="1130" t="s">
        <v>447</v>
      </c>
    </row>
    <row r="5" spans="2:8" ht="15" x14ac:dyDescent="0.25">
      <c r="B5" s="1091"/>
      <c r="C5" s="363" t="s">
        <v>89</v>
      </c>
      <c r="D5" s="363" t="s">
        <v>30</v>
      </c>
      <c r="E5" s="1135">
        <v>2020</v>
      </c>
      <c r="F5" s="1135"/>
      <c r="G5" s="1133"/>
      <c r="H5" s="1131"/>
    </row>
    <row r="6" spans="2:8" ht="15" x14ac:dyDescent="0.25">
      <c r="B6" s="1091"/>
      <c r="C6" s="364">
        <v>2014</v>
      </c>
      <c r="D6" s="364" t="s">
        <v>36</v>
      </c>
      <c r="E6" s="363" t="s">
        <v>38</v>
      </c>
      <c r="F6" s="363" t="s">
        <v>37</v>
      </c>
      <c r="G6" s="1133"/>
      <c r="H6" s="1131"/>
    </row>
    <row r="7" spans="2:8" ht="15.75" thickBot="1" x14ac:dyDescent="0.3">
      <c r="B7" s="1092"/>
      <c r="C7" s="365" t="s">
        <v>70</v>
      </c>
      <c r="D7" s="365" t="s">
        <v>97</v>
      </c>
      <c r="E7" s="364" t="s">
        <v>71</v>
      </c>
      <c r="F7" s="365" t="s">
        <v>98</v>
      </c>
      <c r="G7" s="365" t="s">
        <v>73</v>
      </c>
      <c r="H7" s="366" t="s">
        <v>300</v>
      </c>
    </row>
    <row r="8" spans="2:8" x14ac:dyDescent="0.2">
      <c r="B8" s="352" t="s">
        <v>45</v>
      </c>
      <c r="C8" s="353">
        <v>3.65</v>
      </c>
      <c r="D8" s="349">
        <v>1418873.625</v>
      </c>
      <c r="E8" s="367">
        <f>'CENSO 2020'!C10</f>
        <v>37232</v>
      </c>
      <c r="F8" s="368">
        <f>E8/$E$28*100</f>
        <v>3.0136241193535018</v>
      </c>
      <c r="G8" s="369">
        <f>Datos!K$56*'IEPS GyD '!F8/100</f>
        <v>629588.10201447899</v>
      </c>
      <c r="H8" s="370">
        <f>D8+G8</f>
        <v>2048461.727014479</v>
      </c>
    </row>
    <row r="9" spans="2:8" x14ac:dyDescent="0.2">
      <c r="B9" s="352" t="s">
        <v>46</v>
      </c>
      <c r="C9" s="353">
        <v>1.49</v>
      </c>
      <c r="D9" s="349">
        <v>579211.42500000005</v>
      </c>
      <c r="E9" s="371">
        <f>'CENSO 2020'!C11</f>
        <v>15393</v>
      </c>
      <c r="F9" s="372">
        <f t="shared" ref="F9:F27" si="0">E9/$E$28*100</f>
        <v>1.2459367229589724</v>
      </c>
      <c r="G9" s="369">
        <f>Datos!K$56*'IEPS GyD '!F9/100</f>
        <v>260293.55539076269</v>
      </c>
      <c r="H9" s="370">
        <f t="shared" ref="H9:H27" si="1">D9+G9</f>
        <v>839504.98039076268</v>
      </c>
    </row>
    <row r="10" spans="2:8" x14ac:dyDescent="0.2">
      <c r="B10" s="352" t="s">
        <v>47</v>
      </c>
      <c r="C10" s="353">
        <v>1.0900000000000001</v>
      </c>
      <c r="D10" s="349">
        <v>423718.42499999999</v>
      </c>
      <c r="E10" s="371">
        <f>'CENSO 2020'!C12</f>
        <v>11536</v>
      </c>
      <c r="F10" s="372">
        <f t="shared" si="0"/>
        <v>0.93374430169912959</v>
      </c>
      <c r="G10" s="369">
        <f>Datos!K$56*'IEPS GyD '!F10/100</f>
        <v>195072.20522236323</v>
      </c>
      <c r="H10" s="370">
        <f t="shared" si="1"/>
        <v>618790.63022236316</v>
      </c>
    </row>
    <row r="11" spans="2:8" x14ac:dyDescent="0.2">
      <c r="B11" s="352" t="s">
        <v>48</v>
      </c>
      <c r="C11" s="353">
        <v>8.82</v>
      </c>
      <c r="D11" s="349">
        <v>3428620.65</v>
      </c>
      <c r="E11" s="371">
        <f>'CENSO 2020'!C13</f>
        <v>187632</v>
      </c>
      <c r="F11" s="372">
        <f t="shared" si="0"/>
        <v>15.187266887691669</v>
      </c>
      <c r="G11" s="369">
        <f>Datos!K$56*'IEPS GyD '!F11/100</f>
        <v>3172831.8316819053</v>
      </c>
      <c r="H11" s="370">
        <f t="shared" si="1"/>
        <v>6601452.4816819057</v>
      </c>
    </row>
    <row r="12" spans="2:8" x14ac:dyDescent="0.2">
      <c r="B12" s="352" t="s">
        <v>49</v>
      </c>
      <c r="C12" s="353">
        <v>6.63</v>
      </c>
      <c r="D12" s="349">
        <v>2577296.4750000001</v>
      </c>
      <c r="E12" s="371">
        <f>'CENSO 2020'!C14</f>
        <v>77436</v>
      </c>
      <c r="F12" s="372">
        <f t="shared" si="0"/>
        <v>6.2678071902196431</v>
      </c>
      <c r="G12" s="369">
        <f>Datos!K$56*'IEPS GyD '!F12/100</f>
        <v>1309432.3234742477</v>
      </c>
      <c r="H12" s="370">
        <f t="shared" si="1"/>
        <v>3886728.7984742476</v>
      </c>
    </row>
    <row r="13" spans="2:8" x14ac:dyDescent="0.2">
      <c r="B13" s="352" t="s">
        <v>50</v>
      </c>
      <c r="C13" s="353">
        <v>3.22</v>
      </c>
      <c r="D13" s="349">
        <v>1251718.6500000001</v>
      </c>
      <c r="E13" s="371">
        <f>'CENSO 2020'!C15</f>
        <v>47550</v>
      </c>
      <c r="F13" s="372">
        <f t="shared" si="0"/>
        <v>3.8487813406547868</v>
      </c>
      <c r="G13" s="369">
        <f>Datos!K$56*'IEPS GyD '!F13/100</f>
        <v>804064.09139418986</v>
      </c>
      <c r="H13" s="370">
        <f t="shared" si="1"/>
        <v>2055782.7413941901</v>
      </c>
    </row>
    <row r="14" spans="2:8" x14ac:dyDescent="0.2">
      <c r="B14" s="352" t="s">
        <v>51</v>
      </c>
      <c r="C14" s="353">
        <v>1.1100000000000001</v>
      </c>
      <c r="D14" s="349">
        <v>431493.07500000001</v>
      </c>
      <c r="E14" s="371">
        <f>'CENSO 2020'!C16</f>
        <v>12230</v>
      </c>
      <c r="F14" s="372">
        <f t="shared" si="0"/>
        <v>0.98991789266473262</v>
      </c>
      <c r="G14" s="369">
        <f>Datos!K$56*'IEPS GyD '!F14/100</f>
        <v>206807.65168771695</v>
      </c>
      <c r="H14" s="370">
        <f t="shared" si="1"/>
        <v>638300.72668771702</v>
      </c>
    </row>
    <row r="15" spans="2:8" x14ac:dyDescent="0.2">
      <c r="B15" s="352" t="s">
        <v>52</v>
      </c>
      <c r="C15" s="353">
        <v>2.71</v>
      </c>
      <c r="D15" s="349">
        <v>1053465.075</v>
      </c>
      <c r="E15" s="371">
        <f>'CENSO 2020'!C17</f>
        <v>29299</v>
      </c>
      <c r="F15" s="372">
        <f t="shared" si="0"/>
        <v>2.3715130283878989</v>
      </c>
      <c r="G15" s="369">
        <f>Datos!K$56*'IEPS GyD '!F15/100</f>
        <v>495442.14119365648</v>
      </c>
      <c r="H15" s="370">
        <f t="shared" si="1"/>
        <v>1548907.2161936564</v>
      </c>
    </row>
    <row r="16" spans="2:8" x14ac:dyDescent="0.2">
      <c r="B16" s="352" t="s">
        <v>53</v>
      </c>
      <c r="C16" s="353">
        <v>1.69</v>
      </c>
      <c r="D16" s="349">
        <v>656957.92499999993</v>
      </c>
      <c r="E16" s="371">
        <f>'CENSO 2020'!C18</f>
        <v>19321</v>
      </c>
      <c r="F16" s="372">
        <f t="shared" si="0"/>
        <v>1.563876010153336</v>
      </c>
      <c r="G16" s="369">
        <f>Datos!K$56*'IEPS GyD '!F16/100</f>
        <v>326715.50599005551</v>
      </c>
      <c r="H16" s="370">
        <f t="shared" si="1"/>
        <v>983673.43099005544</v>
      </c>
    </row>
    <row r="17" spans="2:20" x14ac:dyDescent="0.2">
      <c r="B17" s="352" t="s">
        <v>54</v>
      </c>
      <c r="C17" s="353">
        <v>1.27</v>
      </c>
      <c r="D17" s="349">
        <v>493690.27500000002</v>
      </c>
      <c r="E17" s="371">
        <f>'CENSO 2020'!C19</f>
        <v>13719</v>
      </c>
      <c r="F17" s="372">
        <f t="shared" si="0"/>
        <v>1.1104401937422297</v>
      </c>
      <c r="G17" s="369">
        <f>Datos!K$56*'IEPS GyD '!F17/100</f>
        <v>231986.44100603345</v>
      </c>
      <c r="H17" s="370">
        <f t="shared" si="1"/>
        <v>725676.71600603347</v>
      </c>
    </row>
    <row r="18" spans="2:20" x14ac:dyDescent="0.2">
      <c r="B18" s="352" t="s">
        <v>55</v>
      </c>
      <c r="C18" s="353">
        <v>3.39</v>
      </c>
      <c r="D18" s="349">
        <v>1317803.175</v>
      </c>
      <c r="E18" s="371">
        <f>'CENSO 2020'!C20</f>
        <v>33567</v>
      </c>
      <c r="F18" s="372">
        <f t="shared" si="0"/>
        <v>2.7169725186489848</v>
      </c>
      <c r="G18" s="369">
        <f>Datos!K$56*'IEPS GyD '!F18/100</f>
        <v>567613.44596905936</v>
      </c>
      <c r="H18" s="370">
        <f t="shared" si="1"/>
        <v>1885416.6209690594</v>
      </c>
    </row>
    <row r="19" spans="2:20" x14ac:dyDescent="0.2">
      <c r="B19" s="352" t="s">
        <v>56</v>
      </c>
      <c r="C19" s="353">
        <v>2.21</v>
      </c>
      <c r="D19" s="349">
        <v>859098.82499999995</v>
      </c>
      <c r="E19" s="371">
        <f>'CENSO 2020'!C21</f>
        <v>24096</v>
      </c>
      <c r="F19" s="372">
        <f t="shared" si="0"/>
        <v>1.9503729796933278</v>
      </c>
      <c r="G19" s="369">
        <f>Datos!K$56*'IEPS GyD '!F19/100</f>
        <v>407460.11243395158</v>
      </c>
      <c r="H19" s="370">
        <f t="shared" si="1"/>
        <v>1266558.9374339515</v>
      </c>
    </row>
    <row r="20" spans="2:20" x14ac:dyDescent="0.2">
      <c r="B20" s="352" t="s">
        <v>57</v>
      </c>
      <c r="C20" s="353">
        <v>3.95</v>
      </c>
      <c r="D20" s="349">
        <v>1535493.375</v>
      </c>
      <c r="E20" s="371">
        <f>'CENSO 2020'!C22</f>
        <v>41518</v>
      </c>
      <c r="F20" s="372">
        <f t="shared" si="0"/>
        <v>3.3605405615416495</v>
      </c>
      <c r="G20" s="369">
        <f>Datos!K$56*'IEPS GyD '!F20/100</f>
        <v>702063.78436391114</v>
      </c>
      <c r="H20" s="370">
        <f t="shared" si="1"/>
        <v>2237557.159363911</v>
      </c>
    </row>
    <row r="21" spans="2:20" x14ac:dyDescent="0.2">
      <c r="B21" s="352" t="s">
        <v>58</v>
      </c>
      <c r="C21" s="353">
        <v>0.75</v>
      </c>
      <c r="D21" s="349">
        <v>291549.375</v>
      </c>
      <c r="E21" s="371">
        <f>'CENSO 2020'!C23</f>
        <v>7683</v>
      </c>
      <c r="F21" s="372">
        <f t="shared" si="0"/>
        <v>0.62187564753418989</v>
      </c>
      <c r="G21" s="369">
        <f>Datos!K$56*'IEPS GyD '!F21/100</f>
        <v>129918.49451485933</v>
      </c>
      <c r="H21" s="370">
        <f t="shared" si="1"/>
        <v>421467.86951485934</v>
      </c>
    </row>
    <row r="22" spans="2:20" x14ac:dyDescent="0.2">
      <c r="B22" s="352" t="s">
        <v>59</v>
      </c>
      <c r="C22" s="353">
        <v>2.2799999999999998</v>
      </c>
      <c r="D22" s="349">
        <v>886310.09999999986</v>
      </c>
      <c r="E22" s="371">
        <f>'CENSO 2020'!C24</f>
        <v>24911</v>
      </c>
      <c r="F22" s="372">
        <f t="shared" si="0"/>
        <v>2.0163405252797348</v>
      </c>
      <c r="G22" s="369">
        <f>Datos!K$56*'IEPS GyD '!F22/100</f>
        <v>421241.65259139141</v>
      </c>
      <c r="H22" s="370">
        <f t="shared" si="1"/>
        <v>1307551.7525913913</v>
      </c>
    </row>
    <row r="23" spans="2:20" x14ac:dyDescent="0.2">
      <c r="B23" s="352" t="s">
        <v>60</v>
      </c>
      <c r="C23" s="353">
        <v>8.8800000000000008</v>
      </c>
      <c r="D23" s="349">
        <v>3451944.6</v>
      </c>
      <c r="E23" s="371">
        <f>'CENSO 2020'!C25</f>
        <v>93981</v>
      </c>
      <c r="F23" s="372">
        <f t="shared" si="0"/>
        <v>7.6069888365105687</v>
      </c>
      <c r="G23" s="369">
        <f>Datos!K$56*'IEPS GyD '!F23/100</f>
        <v>1589206.0436028889</v>
      </c>
      <c r="H23" s="370">
        <f t="shared" si="1"/>
        <v>5041150.643602889</v>
      </c>
    </row>
    <row r="24" spans="2:20" x14ac:dyDescent="0.2">
      <c r="B24" s="352" t="s">
        <v>61</v>
      </c>
      <c r="C24" s="353">
        <v>3.92</v>
      </c>
      <c r="D24" s="349">
        <v>1523831.4000000001</v>
      </c>
      <c r="E24" s="371">
        <f>'CENSO 2020'!C26</f>
        <v>37135</v>
      </c>
      <c r="F24" s="372">
        <f t="shared" si="0"/>
        <v>3.0057727673021133</v>
      </c>
      <c r="G24" s="369">
        <f>Datos!K$56*'IEPS GyD '!F24/100</f>
        <v>627947.84508776525</v>
      </c>
      <c r="H24" s="370">
        <f t="shared" si="1"/>
        <v>2151779.2450877652</v>
      </c>
    </row>
    <row r="25" spans="2:20" x14ac:dyDescent="0.2">
      <c r="B25" s="352" t="s">
        <v>62</v>
      </c>
      <c r="C25" s="353">
        <v>35.42</v>
      </c>
      <c r="D25" s="349">
        <v>13768905.15</v>
      </c>
      <c r="E25" s="371">
        <f>'CENSO 2020'!C27</f>
        <v>425924</v>
      </c>
      <c r="F25" s="372">
        <f t="shared" si="0"/>
        <v>34.475044032324909</v>
      </c>
      <c r="G25" s="369">
        <f>Datos!K$56*'IEPS GyD '!F25/100</f>
        <v>7202317.4356041839</v>
      </c>
      <c r="H25" s="370">
        <f t="shared" si="1"/>
        <v>20971222.585604183</v>
      </c>
    </row>
    <row r="26" spans="2:20" x14ac:dyDescent="0.2">
      <c r="B26" s="352" t="s">
        <v>63</v>
      </c>
      <c r="C26" s="353">
        <v>3</v>
      </c>
      <c r="D26" s="349">
        <v>1166197.5</v>
      </c>
      <c r="E26" s="371">
        <f>'CENSO 2020'!C28</f>
        <v>30064</v>
      </c>
      <c r="F26" s="372">
        <f t="shared" si="0"/>
        <v>2.4334334852880231</v>
      </c>
      <c r="G26" s="369">
        <f>Datos!K$56*'IEPS GyD '!F26/100</f>
        <v>508378.18808990368</v>
      </c>
      <c r="H26" s="370">
        <f t="shared" si="1"/>
        <v>1674575.6880899037</v>
      </c>
    </row>
    <row r="27" spans="2:20" ht="15" thickBot="1" x14ac:dyDescent="0.25">
      <c r="B27" s="352" t="s">
        <v>64</v>
      </c>
      <c r="C27" s="353">
        <v>4.5199999999999996</v>
      </c>
      <c r="D27" s="349">
        <v>1757070.9</v>
      </c>
      <c r="E27" s="745">
        <f>'CENSO 2020'!C29</f>
        <v>65229</v>
      </c>
      <c r="F27" s="373">
        <f t="shared" si="0"/>
        <v>5.2797509583506006</v>
      </c>
      <c r="G27" s="369">
        <f>Datos!K$56*'IEPS GyD '!F27/100</f>
        <v>1103013.5986866793</v>
      </c>
      <c r="H27" s="370">
        <f t="shared" si="1"/>
        <v>2860084.4986866792</v>
      </c>
    </row>
    <row r="28" spans="2:20" ht="15.75" thickBot="1" x14ac:dyDescent="0.3">
      <c r="B28" s="284" t="s">
        <v>65</v>
      </c>
      <c r="C28" s="359">
        <f>SUM(C8:C27)</f>
        <v>100.00000000000001</v>
      </c>
      <c r="D28" s="286">
        <f>SUM(D8:D27)</f>
        <v>38873250</v>
      </c>
      <c r="E28" s="374">
        <f>SUM(E8:E27)</f>
        <v>1235456</v>
      </c>
      <c r="F28" s="375">
        <f>SUM(F8:F27)</f>
        <v>100</v>
      </c>
      <c r="G28" s="376">
        <f>SUM(G8:G27)</f>
        <v>20891394.450000003</v>
      </c>
      <c r="H28" s="377">
        <f>D28+G28</f>
        <v>59764644.450000003</v>
      </c>
    </row>
    <row r="29" spans="2:20" ht="15" customHeight="1" x14ac:dyDescent="0.2">
      <c r="B29" s="1134" t="s">
        <v>295</v>
      </c>
      <c r="C29" s="1134"/>
      <c r="D29" s="1134"/>
      <c r="E29" s="1134"/>
      <c r="F29" s="1134"/>
      <c r="G29" s="1134"/>
      <c r="H29" s="1134"/>
    </row>
    <row r="30" spans="2:20" x14ac:dyDescent="0.2">
      <c r="B30" s="486" t="s">
        <v>294</v>
      </c>
      <c r="C30" s="489"/>
      <c r="D30" s="490"/>
      <c r="E30" s="490"/>
      <c r="F30" s="490"/>
      <c r="G30" s="491"/>
      <c r="H30" s="490"/>
      <c r="I30" s="490"/>
      <c r="J30" s="492"/>
      <c r="K30" s="492"/>
      <c r="L30" s="493"/>
      <c r="M30" s="493"/>
      <c r="N30" s="494"/>
      <c r="O30" s="490"/>
      <c r="P30" s="490"/>
    </row>
    <row r="31" spans="2:20" ht="55.5" customHeight="1" x14ac:dyDescent="0.2">
      <c r="B31" s="1087" t="s">
        <v>297</v>
      </c>
      <c r="C31" s="1087"/>
      <c r="D31" s="1087"/>
      <c r="E31" s="1087"/>
      <c r="F31" s="1087"/>
      <c r="G31" s="1087"/>
      <c r="H31" s="1087"/>
      <c r="I31" s="495"/>
      <c r="J31" s="495"/>
      <c r="K31" s="495"/>
      <c r="L31" s="495"/>
      <c r="M31" s="495"/>
      <c r="N31" s="498"/>
      <c r="O31" s="495"/>
      <c r="P31" s="495"/>
    </row>
    <row r="32" spans="2:20" ht="14.25" customHeight="1" x14ac:dyDescent="0.2">
      <c r="B32" s="1089" t="s">
        <v>378</v>
      </c>
      <c r="C32" s="1047"/>
      <c r="D32" s="1047"/>
      <c r="E32" s="1047"/>
      <c r="F32" s="1047"/>
      <c r="G32" s="1047"/>
      <c r="H32" s="1047"/>
      <c r="I32" s="496"/>
      <c r="J32" s="496"/>
      <c r="K32" s="496"/>
      <c r="L32" s="496"/>
      <c r="M32" s="496"/>
      <c r="N32" s="496"/>
      <c r="O32" s="496"/>
      <c r="P32" s="496"/>
      <c r="Q32" s="496"/>
      <c r="R32" s="496"/>
      <c r="S32" s="496"/>
      <c r="T32" s="496"/>
    </row>
    <row r="33" spans="2:8" ht="25.5" customHeight="1" x14ac:dyDescent="0.2">
      <c r="B33" s="1087"/>
      <c r="C33" s="1087"/>
      <c r="D33" s="1087"/>
      <c r="E33" s="1087"/>
      <c r="F33" s="1087"/>
      <c r="G33" s="1087"/>
      <c r="H33" s="1087"/>
    </row>
  </sheetData>
  <mergeCells count="10">
    <mergeCell ref="H4:H6"/>
    <mergeCell ref="G4:G6"/>
    <mergeCell ref="B29:H29"/>
    <mergeCell ref="B1:H1"/>
    <mergeCell ref="B33:H33"/>
    <mergeCell ref="B31:H31"/>
    <mergeCell ref="B32:H32"/>
    <mergeCell ref="B4:B7"/>
    <mergeCell ref="E4:F4"/>
    <mergeCell ref="E5:F5"/>
  </mergeCells>
  <printOptions horizontalCentered="1"/>
  <pageMargins left="0.70866141732283472" right="0.39370078740157483" top="0.49" bottom="0.74803149606299213" header="0.31496062992125984" footer="0.31496062992125984"/>
  <pageSetup orientation="landscape" r:id="rId1"/>
  <ignoredErrors>
    <ignoredError sqref="D6:D7 C7 E7:G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Y30"/>
  <sheetViews>
    <sheetView workbookViewId="0">
      <selection activeCell="B1" sqref="B1:L1"/>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9" hidden="1" customWidth="1"/>
    <col min="19" max="19" width="15.85546875" customWidth="1"/>
    <col min="20" max="20" width="14.7109375" customWidth="1"/>
    <col min="21" max="21" width="15.140625" customWidth="1"/>
  </cols>
  <sheetData>
    <row r="1" spans="2:25" x14ac:dyDescent="0.25">
      <c r="B1" s="1063" t="s">
        <v>448</v>
      </c>
      <c r="C1" s="1063"/>
      <c r="D1" s="1063"/>
      <c r="E1" s="1063"/>
      <c r="F1" s="1063"/>
      <c r="G1" s="1063"/>
      <c r="H1" s="1063"/>
      <c r="I1" s="1063"/>
      <c r="J1" s="1063"/>
      <c r="K1" s="1139"/>
      <c r="L1" s="1139"/>
      <c r="M1" s="8"/>
      <c r="N1" s="8"/>
      <c r="O1" s="8"/>
      <c r="P1" s="8"/>
      <c r="S1" s="153"/>
    </row>
    <row r="2" spans="2:25" x14ac:dyDescent="0.25">
      <c r="B2" s="955"/>
      <c r="C2" s="955"/>
      <c r="D2" s="955"/>
      <c r="E2" s="955"/>
      <c r="F2" s="955"/>
      <c r="G2" s="955"/>
      <c r="H2" s="955"/>
      <c r="I2" s="955"/>
      <c r="J2" s="955"/>
      <c r="K2" s="8"/>
      <c r="L2" s="8"/>
      <c r="M2" s="8"/>
      <c r="N2" s="153" t="s">
        <v>170</v>
      </c>
      <c r="O2" s="8"/>
      <c r="P2" s="8"/>
      <c r="Q2" s="57"/>
      <c r="R2" s="57"/>
    </row>
    <row r="3" spans="2:25" ht="15.75" thickBot="1" x14ac:dyDescent="0.3">
      <c r="M3" s="154"/>
      <c r="N3" s="154"/>
      <c r="O3" s="154"/>
      <c r="P3" s="154"/>
      <c r="Q3" s="154"/>
      <c r="R3" s="154"/>
      <c r="S3" s="154"/>
    </row>
    <row r="4" spans="2:25" ht="15" customHeight="1" x14ac:dyDescent="0.25">
      <c r="B4" s="1140" t="s">
        <v>83</v>
      </c>
      <c r="C4" s="308" t="s">
        <v>139</v>
      </c>
      <c r="D4" s="1143" t="s">
        <v>239</v>
      </c>
      <c r="E4" s="404" t="s">
        <v>140</v>
      </c>
      <c r="F4" s="1143" t="s">
        <v>240</v>
      </c>
      <c r="G4" s="404" t="s">
        <v>29</v>
      </c>
      <c r="H4" s="404" t="s">
        <v>29</v>
      </c>
      <c r="I4" s="1143" t="s">
        <v>241</v>
      </c>
      <c r="J4" s="1145" t="s">
        <v>242</v>
      </c>
      <c r="K4" s="162"/>
      <c r="L4" s="86" t="s">
        <v>141</v>
      </c>
      <c r="M4" s="86"/>
      <c r="N4" s="86" t="s">
        <v>24</v>
      </c>
      <c r="O4" s="1138"/>
      <c r="P4" s="1138"/>
      <c r="Q4" s="154"/>
      <c r="R4" s="154"/>
      <c r="S4" s="154"/>
      <c r="T4" s="154"/>
      <c r="U4" s="129"/>
      <c r="V4" s="129"/>
      <c r="W4" s="137"/>
      <c r="X4" s="137"/>
      <c r="Y4" s="137"/>
    </row>
    <row r="5" spans="2:25" x14ac:dyDescent="0.25">
      <c r="B5" s="1141"/>
      <c r="C5" s="309" t="s">
        <v>33</v>
      </c>
      <c r="D5" s="1144"/>
      <c r="E5" s="307" t="s">
        <v>33</v>
      </c>
      <c r="F5" s="1144"/>
      <c r="G5" s="307" t="s">
        <v>33</v>
      </c>
      <c r="H5" s="307" t="s">
        <v>142</v>
      </c>
      <c r="I5" s="1144"/>
      <c r="J5" s="1146"/>
      <c r="K5" s="163"/>
      <c r="L5" s="13" t="s">
        <v>143</v>
      </c>
      <c r="M5" s="13"/>
      <c r="N5" s="13" t="s">
        <v>171</v>
      </c>
      <c r="O5" s="1138"/>
      <c r="P5" s="1138"/>
      <c r="Q5" s="154"/>
      <c r="R5" s="154"/>
      <c r="S5" s="154"/>
      <c r="T5" s="154"/>
      <c r="U5" s="129"/>
      <c r="V5" s="129"/>
      <c r="W5" s="137"/>
      <c r="X5" s="137"/>
      <c r="Y5" s="137"/>
    </row>
    <row r="6" spans="2:25" x14ac:dyDescent="0.25">
      <c r="B6" s="1141"/>
      <c r="C6" s="423">
        <v>0.6</v>
      </c>
      <c r="D6" s="405" t="s">
        <v>44</v>
      </c>
      <c r="E6" s="405">
        <v>0.3</v>
      </c>
      <c r="F6" s="405" t="s">
        <v>44</v>
      </c>
      <c r="G6" s="405">
        <v>0.1</v>
      </c>
      <c r="H6" s="405"/>
      <c r="I6" s="405" t="s">
        <v>44</v>
      </c>
      <c r="J6" s="1146"/>
      <c r="K6" s="164"/>
      <c r="L6" s="13" t="s">
        <v>32</v>
      </c>
      <c r="M6" s="13"/>
      <c r="N6" s="120"/>
      <c r="O6" s="154"/>
      <c r="P6" s="154"/>
      <c r="Q6" s="154"/>
      <c r="R6" s="154"/>
      <c r="S6" s="154"/>
      <c r="T6" s="154"/>
      <c r="U6" s="129"/>
      <c r="V6" s="129"/>
      <c r="W6" s="137"/>
      <c r="X6" s="137"/>
      <c r="Y6" s="137"/>
    </row>
    <row r="7" spans="2:25" ht="15.75" thickBot="1" x14ac:dyDescent="0.3">
      <c r="B7" s="1142"/>
      <c r="C7" s="501">
        <v>1</v>
      </c>
      <c r="D7" s="502" t="s">
        <v>97</v>
      </c>
      <c r="E7" s="502" t="s">
        <v>71</v>
      </c>
      <c r="F7" s="502" t="s">
        <v>98</v>
      </c>
      <c r="G7" s="502" t="s">
        <v>73</v>
      </c>
      <c r="H7" s="502" t="s">
        <v>301</v>
      </c>
      <c r="I7" s="502" t="s">
        <v>74</v>
      </c>
      <c r="J7" s="504" t="s">
        <v>302</v>
      </c>
      <c r="K7" s="165"/>
      <c r="L7" s="121" t="s">
        <v>172</v>
      </c>
      <c r="M7" s="121"/>
      <c r="N7" s="121" t="s">
        <v>173</v>
      </c>
      <c r="O7" s="142"/>
      <c r="P7" s="142"/>
      <c r="Q7" s="142"/>
      <c r="R7" s="142"/>
      <c r="S7" s="142"/>
      <c r="T7" s="154"/>
      <c r="U7" s="142"/>
      <c r="V7" s="142"/>
      <c r="W7" s="137"/>
      <c r="X7" s="137"/>
      <c r="Y7" s="137"/>
    </row>
    <row r="8" spans="2:25" ht="22.5" customHeight="1" x14ac:dyDescent="0.25">
      <c r="B8" s="132" t="s">
        <v>45</v>
      </c>
      <c r="C8" s="424">
        <f>FGP!E8</f>
        <v>3.0136241193535018</v>
      </c>
      <c r="D8" s="371">
        <f t="shared" ref="D8:D27" si="0">C8*$D$28/100</f>
        <v>216157.67566061436</v>
      </c>
      <c r="E8" s="406">
        <f>FGP!K8</f>
        <v>4.8725557232012191</v>
      </c>
      <c r="F8" s="371">
        <f t="shared" ref="F8:F27" si="1">E8*$F$28/100</f>
        <v>174746.46437989519</v>
      </c>
      <c r="G8" s="406">
        <f>FGP!Q8</f>
        <v>4.7101921616142235</v>
      </c>
      <c r="H8" s="406">
        <f>G8*10%</f>
        <v>0.47101921616142239</v>
      </c>
      <c r="I8" s="371">
        <f>G8*$I$28/100</f>
        <v>56307.851125761998</v>
      </c>
      <c r="J8" s="407">
        <f t="shared" ref="J8:J27" si="2">D8+F8+I8</f>
        <v>447211.9911662715</v>
      </c>
      <c r="K8" s="166"/>
      <c r="L8" s="167" t="e">
        <f>#REF!+#REF!+H8</f>
        <v>#REF!</v>
      </c>
      <c r="M8" s="144"/>
      <c r="N8" s="168" t="e">
        <f>[1]Datos!K$64*L8%*22.5%</f>
        <v>#REF!</v>
      </c>
      <c r="O8" s="169"/>
      <c r="P8" s="126"/>
      <c r="Q8" s="144"/>
      <c r="R8" s="102"/>
      <c r="S8" s="102"/>
      <c r="T8" s="144"/>
      <c r="U8" s="145"/>
      <c r="V8" s="146"/>
      <c r="W8" s="147"/>
      <c r="X8" s="137"/>
      <c r="Y8" s="137"/>
    </row>
    <row r="9" spans="2:25" ht="22.5" customHeight="1" x14ac:dyDescent="0.25">
      <c r="B9" s="132" t="s">
        <v>46</v>
      </c>
      <c r="C9" s="424">
        <f>FGP!E9</f>
        <v>1.2459367229589724</v>
      </c>
      <c r="D9" s="371">
        <f t="shared" si="0"/>
        <v>89367.079432849103</v>
      </c>
      <c r="E9" s="406">
        <f>FGP!K9</f>
        <v>5.962076313538633</v>
      </c>
      <c r="F9" s="371">
        <f t="shared" si="1"/>
        <v>213820.388178036</v>
      </c>
      <c r="G9" s="406">
        <f>FGP!Q9</f>
        <v>6.0729212551899465</v>
      </c>
      <c r="H9" s="406">
        <f t="shared" ref="H9:H28" si="3">G9*10%</f>
        <v>0.6072921255189947</v>
      </c>
      <c r="I9" s="371">
        <f t="shared" ref="I9:I27" si="4">G9*$I$28/100</f>
        <v>72598.555261176632</v>
      </c>
      <c r="J9" s="407">
        <f t="shared" si="2"/>
        <v>375786.0228720617</v>
      </c>
      <c r="K9" s="143"/>
      <c r="L9" s="170" t="e">
        <f>#REF!+#REF!+H9</f>
        <v>#REF!</v>
      </c>
      <c r="M9" s="170"/>
      <c r="N9" s="168" t="e">
        <f>[1]Datos!K$64*L9%*22.5%</f>
        <v>#REF!</v>
      </c>
      <c r="O9" s="169"/>
      <c r="P9" s="126"/>
      <c r="Q9" s="144"/>
      <c r="R9" s="171"/>
      <c r="S9" s="102"/>
      <c r="T9" s="144"/>
      <c r="U9" s="145"/>
      <c r="V9" s="146"/>
      <c r="W9" s="147"/>
      <c r="X9" s="137"/>
      <c r="Y9" s="137"/>
    </row>
    <row r="10" spans="2:25" ht="22.5" customHeight="1" x14ac:dyDescent="0.25">
      <c r="B10" s="132" t="s">
        <v>47</v>
      </c>
      <c r="C10" s="424">
        <f>FGP!E10</f>
        <v>0.93374430169912959</v>
      </c>
      <c r="D10" s="371">
        <f t="shared" si="0"/>
        <v>66974.509734122461</v>
      </c>
      <c r="E10" s="406">
        <f>FGP!K10</f>
        <v>4.1621792632482588</v>
      </c>
      <c r="F10" s="371">
        <f t="shared" si="1"/>
        <v>149269.94203569714</v>
      </c>
      <c r="G10" s="406">
        <f>FGP!Q10</f>
        <v>8.5145935597055225</v>
      </c>
      <c r="H10" s="406">
        <f t="shared" si="3"/>
        <v>0.85145935597055233</v>
      </c>
      <c r="I10" s="371">
        <f t="shared" si="4"/>
        <v>101787.45369742256</v>
      </c>
      <c r="J10" s="407">
        <f t="shared" si="2"/>
        <v>318031.90546724218</v>
      </c>
      <c r="K10" s="143"/>
      <c r="L10" s="170" t="e">
        <f>#REF!+#REF!+H10</f>
        <v>#REF!</v>
      </c>
      <c r="M10" s="170"/>
      <c r="N10" s="168" t="e">
        <f>[1]Datos!K$64*L10%*22.5%</f>
        <v>#REF!</v>
      </c>
      <c r="O10" s="169"/>
      <c r="P10" s="126"/>
      <c r="Q10" s="144"/>
      <c r="R10" s="102"/>
      <c r="S10" s="102"/>
      <c r="T10" s="144"/>
      <c r="U10" s="145"/>
      <c r="V10" s="146"/>
      <c r="W10" s="147"/>
      <c r="X10" s="137"/>
      <c r="Y10" s="137"/>
    </row>
    <row r="11" spans="2:25" ht="22.5" customHeight="1" x14ac:dyDescent="0.25">
      <c r="B11" s="132" t="s">
        <v>48</v>
      </c>
      <c r="C11" s="424">
        <f>FGP!E11</f>
        <v>15.187266887691669</v>
      </c>
      <c r="D11" s="371">
        <f t="shared" si="0"/>
        <v>1089334.3629016005</v>
      </c>
      <c r="E11" s="406">
        <f>FGP!K11</f>
        <v>4.6850012216928718</v>
      </c>
      <c r="F11" s="371">
        <f t="shared" si="1"/>
        <v>168020.12036682255</v>
      </c>
      <c r="G11" s="406">
        <f>FGP!Q11</f>
        <v>1.4643711386586644</v>
      </c>
      <c r="H11" s="406">
        <f t="shared" si="3"/>
        <v>0.14643711386586644</v>
      </c>
      <c r="I11" s="371">
        <f t="shared" si="4"/>
        <v>17505.7809191794</v>
      </c>
      <c r="J11" s="407">
        <f t="shared" si="2"/>
        <v>1274860.2641876023</v>
      </c>
      <c r="K11" s="143"/>
      <c r="L11" s="170" t="e">
        <f>#REF!+#REF!+H11</f>
        <v>#REF!</v>
      </c>
      <c r="M11" s="170"/>
      <c r="N11" s="168" t="e">
        <f>[1]Datos!K$64*L11%*22.5%</f>
        <v>#REF!</v>
      </c>
      <c r="O11" s="169"/>
      <c r="P11" s="126"/>
      <c r="Q11" s="144"/>
      <c r="R11" s="102"/>
      <c r="S11" s="102"/>
      <c r="T11" s="144"/>
      <c r="U11" s="145"/>
      <c r="V11" s="146"/>
      <c r="W11" s="147"/>
      <c r="X11" s="137"/>
      <c r="Y11" s="137"/>
    </row>
    <row r="12" spans="2:25" ht="22.5" customHeight="1" x14ac:dyDescent="0.25">
      <c r="B12" s="132" t="s">
        <v>49</v>
      </c>
      <c r="C12" s="424">
        <f>FGP!E12</f>
        <v>6.2678071902196431</v>
      </c>
      <c r="D12" s="371">
        <f t="shared" si="0"/>
        <v>449569.88000793225</v>
      </c>
      <c r="E12" s="406">
        <f>FGP!K12</f>
        <v>7.4829469808300741</v>
      </c>
      <c r="F12" s="371">
        <f t="shared" si="1"/>
        <v>268363.99670421315</v>
      </c>
      <c r="G12" s="406">
        <f>FGP!Q12</f>
        <v>2.5646284095040652</v>
      </c>
      <c r="H12" s="406">
        <f t="shared" si="3"/>
        <v>0.25646284095040656</v>
      </c>
      <c r="I12" s="371">
        <f t="shared" si="4"/>
        <v>30658.773510795487</v>
      </c>
      <c r="J12" s="407">
        <f t="shared" si="2"/>
        <v>748592.65022294084</v>
      </c>
      <c r="K12" s="143"/>
      <c r="L12" s="170" t="e">
        <f>#REF!+#REF!+H12</f>
        <v>#REF!</v>
      </c>
      <c r="M12" s="170"/>
      <c r="N12" s="168" t="e">
        <f>[1]Datos!K$64*L12%*22.5%</f>
        <v>#REF!</v>
      </c>
      <c r="O12" s="169"/>
      <c r="P12" s="126"/>
      <c r="Q12" s="144"/>
      <c r="R12" s="102"/>
      <c r="S12" s="102"/>
      <c r="T12" s="144"/>
      <c r="U12" s="145"/>
      <c r="V12" s="146"/>
      <c r="W12" s="147"/>
      <c r="X12" s="137"/>
      <c r="Y12" s="137"/>
    </row>
    <row r="13" spans="2:25" ht="22.5" customHeight="1" x14ac:dyDescent="0.25">
      <c r="B13" s="132" t="s">
        <v>50</v>
      </c>
      <c r="C13" s="424">
        <f>FGP!E13</f>
        <v>3.8487813406547868</v>
      </c>
      <c r="D13" s="371">
        <f t="shared" si="0"/>
        <v>276060.847595139</v>
      </c>
      <c r="E13" s="406">
        <f>FGP!K13</f>
        <v>5.9997090398989021</v>
      </c>
      <c r="F13" s="371">
        <f t="shared" si="1"/>
        <v>215170.02607855704</v>
      </c>
      <c r="G13" s="406">
        <f>FGP!Q13</f>
        <v>3.7482041847076806</v>
      </c>
      <c r="H13" s="406">
        <f t="shared" si="3"/>
        <v>0.37482041847076808</v>
      </c>
      <c r="I13" s="371">
        <f t="shared" si="4"/>
        <v>44807.79466737264</v>
      </c>
      <c r="J13" s="407">
        <f t="shared" si="2"/>
        <v>536038.66834106867</v>
      </c>
      <c r="K13" s="143"/>
      <c r="L13" s="170" t="e">
        <f>#REF!+#REF!+H13</f>
        <v>#REF!</v>
      </c>
      <c r="M13" s="170"/>
      <c r="N13" s="168" t="e">
        <f>[1]Datos!K$64*L13%*22.5%</f>
        <v>#REF!</v>
      </c>
      <c r="O13" s="169"/>
      <c r="P13" s="126"/>
      <c r="Q13" s="144"/>
      <c r="R13" s="102"/>
      <c r="S13" s="102"/>
      <c r="T13" s="144"/>
      <c r="U13" s="145"/>
      <c r="V13" s="146"/>
      <c r="W13" s="147"/>
      <c r="X13" s="137"/>
      <c r="Y13" s="137"/>
    </row>
    <row r="14" spans="2:25" ht="22.5" customHeight="1" x14ac:dyDescent="0.25">
      <c r="B14" s="132" t="s">
        <v>51</v>
      </c>
      <c r="C14" s="424">
        <f>FGP!E14</f>
        <v>0.98991789266473262</v>
      </c>
      <c r="D14" s="371">
        <f t="shared" si="0"/>
        <v>71003.662798917969</v>
      </c>
      <c r="E14" s="406">
        <f>FGP!K14</f>
        <v>4.9755379541328555</v>
      </c>
      <c r="F14" s="371">
        <f t="shared" si="1"/>
        <v>178439.75836595849</v>
      </c>
      <c r="G14" s="406">
        <f>FGP!Q14</f>
        <v>7.381367717629014</v>
      </c>
      <c r="H14" s="406">
        <f t="shared" si="3"/>
        <v>0.73813677176290149</v>
      </c>
      <c r="I14" s="371">
        <f t="shared" si="4"/>
        <v>88240.339308432915</v>
      </c>
      <c r="J14" s="407">
        <f t="shared" si="2"/>
        <v>337683.76047330938</v>
      </c>
      <c r="K14" s="143"/>
      <c r="L14" s="170" t="e">
        <f>#REF!+#REF!+H14</f>
        <v>#REF!</v>
      </c>
      <c r="M14" s="170"/>
      <c r="N14" s="168" t="e">
        <f>[1]Datos!K$64*L14%*22.5%</f>
        <v>#REF!</v>
      </c>
      <c r="O14" s="169"/>
      <c r="P14" s="126"/>
      <c r="Q14" s="144"/>
      <c r="R14" s="102"/>
      <c r="S14" s="102"/>
      <c r="T14" s="144"/>
      <c r="U14" s="145"/>
      <c r="V14" s="146"/>
      <c r="W14" s="147"/>
      <c r="X14" s="137"/>
      <c r="Y14" s="137"/>
    </row>
    <row r="15" spans="2:25" ht="22.5" customHeight="1" x14ac:dyDescent="0.25">
      <c r="B15" s="132" t="s">
        <v>52</v>
      </c>
      <c r="C15" s="424">
        <f>FGP!E15</f>
        <v>2.3715130283878989</v>
      </c>
      <c r="D15" s="371">
        <f t="shared" si="0"/>
        <v>170101.08882628763</v>
      </c>
      <c r="E15" s="406">
        <f>FGP!K15</f>
        <v>4.3102967745901095</v>
      </c>
      <c r="F15" s="371">
        <f t="shared" si="1"/>
        <v>154581.9410953472</v>
      </c>
      <c r="G15" s="406">
        <f>FGP!Q15</f>
        <v>5.6708649565262332</v>
      </c>
      <c r="H15" s="406">
        <f t="shared" si="3"/>
        <v>0.56708649565262337</v>
      </c>
      <c r="I15" s="371">
        <f t="shared" si="4"/>
        <v>67792.185280387406</v>
      </c>
      <c r="J15" s="407">
        <f t="shared" si="2"/>
        <v>392475.21520202223</v>
      </c>
      <c r="K15" s="143"/>
      <c r="L15" s="170" t="e">
        <f>#REF!+#REF!+H15</f>
        <v>#REF!</v>
      </c>
      <c r="M15" s="170"/>
      <c r="N15" s="168" t="e">
        <f>[1]Datos!K$64*L15%*22.5%</f>
        <v>#REF!</v>
      </c>
      <c r="O15" s="169"/>
      <c r="P15" s="126"/>
      <c r="Q15" s="144"/>
      <c r="R15" s="102"/>
      <c r="S15" s="102"/>
      <c r="T15" s="144"/>
      <c r="U15" s="145"/>
      <c r="V15" s="146"/>
      <c r="W15" s="147"/>
      <c r="X15" s="137"/>
      <c r="Y15" s="137"/>
    </row>
    <row r="16" spans="2:25" ht="22.5" customHeight="1" x14ac:dyDescent="0.25">
      <c r="B16" s="132" t="s">
        <v>53</v>
      </c>
      <c r="C16" s="424">
        <f>FGP!E16</f>
        <v>1.563876010153336</v>
      </c>
      <c r="D16" s="371">
        <f t="shared" si="0"/>
        <v>112171.85355174931</v>
      </c>
      <c r="E16" s="406">
        <f>FGP!K16</f>
        <v>5.6344029002652212</v>
      </c>
      <c r="F16" s="371">
        <f t="shared" si="1"/>
        <v>202068.90216256119</v>
      </c>
      <c r="G16" s="406">
        <f>FGP!Q16</f>
        <v>5.8593087716327297</v>
      </c>
      <c r="H16" s="406">
        <f t="shared" si="3"/>
        <v>0.58593087716327297</v>
      </c>
      <c r="I16" s="371">
        <f t="shared" si="4"/>
        <v>70044.931224185755</v>
      </c>
      <c r="J16" s="407">
        <f t="shared" si="2"/>
        <v>384285.68693849625</v>
      </c>
      <c r="K16" s="143"/>
      <c r="L16" s="170" t="e">
        <f>#REF!+#REF!+H16</f>
        <v>#REF!</v>
      </c>
      <c r="M16" s="170"/>
      <c r="N16" s="168" t="e">
        <f>[1]Datos!K$64*L16%*22.5%</f>
        <v>#REF!</v>
      </c>
      <c r="O16" s="169"/>
      <c r="P16" s="126"/>
      <c r="Q16" s="144"/>
      <c r="R16" s="102"/>
      <c r="S16" s="102"/>
      <c r="T16" s="144"/>
      <c r="U16" s="145"/>
      <c r="V16" s="146"/>
      <c r="W16" s="147"/>
      <c r="X16" s="137"/>
      <c r="Y16" s="137"/>
    </row>
    <row r="17" spans="2:25" ht="22.5" customHeight="1" x14ac:dyDescent="0.25">
      <c r="B17" s="132" t="s">
        <v>54</v>
      </c>
      <c r="C17" s="424">
        <f>FGP!E17</f>
        <v>1.1104401937422297</v>
      </c>
      <c r="D17" s="371">
        <f t="shared" si="0"/>
        <v>79648.344230446091</v>
      </c>
      <c r="E17" s="406">
        <f>FGP!K17</f>
        <v>5.0697759799893873</v>
      </c>
      <c r="F17" s="371">
        <f t="shared" si="1"/>
        <v>181819.45533897763</v>
      </c>
      <c r="G17" s="406">
        <f>FGP!Q17</f>
        <v>7.0419134570047959</v>
      </c>
      <c r="H17" s="406">
        <f t="shared" si="3"/>
        <v>0.70419134570047959</v>
      </c>
      <c r="I17" s="371">
        <f t="shared" si="4"/>
        <v>84182.343516455789</v>
      </c>
      <c r="J17" s="407">
        <f t="shared" si="2"/>
        <v>345650.14308587951</v>
      </c>
      <c r="K17" s="143"/>
      <c r="L17" s="170" t="e">
        <f>#REF!+#REF!+H17</f>
        <v>#REF!</v>
      </c>
      <c r="M17" s="170"/>
      <c r="N17" s="168" t="e">
        <f>[1]Datos!K$64*L17%*22.5%</f>
        <v>#REF!</v>
      </c>
      <c r="O17" s="169"/>
      <c r="P17" s="126"/>
      <c r="Q17" s="144"/>
      <c r="R17" s="102"/>
      <c r="S17" s="102"/>
      <c r="T17" s="144"/>
      <c r="U17" s="145"/>
      <c r="V17" s="146"/>
      <c r="W17" s="147"/>
      <c r="X17" s="137"/>
      <c r="Y17" s="137"/>
    </row>
    <row r="18" spans="2:25" ht="22.5" customHeight="1" x14ac:dyDescent="0.25">
      <c r="B18" s="132" t="s">
        <v>55</v>
      </c>
      <c r="C18" s="424">
        <f>FGP!E18</f>
        <v>2.7169725186489848</v>
      </c>
      <c r="D18" s="371">
        <f t="shared" si="0"/>
        <v>194879.79960517414</v>
      </c>
      <c r="E18" s="406">
        <f>FGP!K18</f>
        <v>4.9434045516048108</v>
      </c>
      <c r="F18" s="371">
        <f t="shared" si="1"/>
        <v>177287.34497158017</v>
      </c>
      <c r="G18" s="406">
        <f>FGP!Q18</f>
        <v>4.9473298306740459</v>
      </c>
      <c r="H18" s="406">
        <f t="shared" si="3"/>
        <v>0.4947329830674046</v>
      </c>
      <c r="I18" s="371">
        <f t="shared" si="4"/>
        <v>59142.70628826446</v>
      </c>
      <c r="J18" s="407">
        <f t="shared" si="2"/>
        <v>431309.85086501879</v>
      </c>
      <c r="K18" s="143"/>
      <c r="L18" s="170" t="e">
        <f>#REF!+#REF!+H18</f>
        <v>#REF!</v>
      </c>
      <c r="M18" s="170"/>
      <c r="N18" s="168" t="e">
        <f>[1]Datos!K$64*L18%*22.5%</f>
        <v>#REF!</v>
      </c>
      <c r="O18" s="169"/>
      <c r="P18" s="126"/>
      <c r="Q18" s="144"/>
      <c r="R18" s="102"/>
      <c r="S18" s="102"/>
      <c r="T18" s="144"/>
      <c r="U18" s="145"/>
      <c r="V18" s="146"/>
      <c r="W18" s="147"/>
      <c r="X18" s="137"/>
      <c r="Y18" s="137"/>
    </row>
    <row r="19" spans="2:25" ht="22.5" customHeight="1" x14ac:dyDescent="0.25">
      <c r="B19" s="132" t="s">
        <v>56</v>
      </c>
      <c r="C19" s="424">
        <f>FGP!E19</f>
        <v>1.9503729796933278</v>
      </c>
      <c r="D19" s="371">
        <f t="shared" si="0"/>
        <v>139894.05223243887</v>
      </c>
      <c r="E19" s="406">
        <f>FGP!K19</f>
        <v>3.9191120763110154</v>
      </c>
      <c r="F19" s="371">
        <f t="shared" si="1"/>
        <v>140552.72381656006</v>
      </c>
      <c r="G19" s="406">
        <f>FGP!Q19</f>
        <v>6.5653584694432778</v>
      </c>
      <c r="H19" s="406">
        <f t="shared" si="3"/>
        <v>0.65653584694432787</v>
      </c>
      <c r="I19" s="371">
        <f t="shared" si="4"/>
        <v>78485.381190473505</v>
      </c>
      <c r="J19" s="407">
        <f t="shared" si="2"/>
        <v>358932.15723947244</v>
      </c>
      <c r="K19" s="143"/>
      <c r="L19" s="170" t="e">
        <f>#REF!+#REF!+H19</f>
        <v>#REF!</v>
      </c>
      <c r="M19" s="170"/>
      <c r="N19" s="168" t="e">
        <f>[1]Datos!K$64*L19%*22.5%</f>
        <v>#REF!</v>
      </c>
      <c r="O19" s="169"/>
      <c r="P19" s="126"/>
      <c r="Q19" s="144"/>
      <c r="R19" s="102"/>
      <c r="S19" s="102"/>
      <c r="T19" s="144"/>
      <c r="U19" s="145"/>
      <c r="V19" s="146"/>
      <c r="W19" s="147"/>
      <c r="X19" s="137"/>
      <c r="Y19" s="137"/>
    </row>
    <row r="20" spans="2:25" ht="22.5" customHeight="1" x14ac:dyDescent="0.25">
      <c r="B20" s="132" t="s">
        <v>57</v>
      </c>
      <c r="C20" s="424">
        <f>FGP!E20</f>
        <v>3.3605405615416495</v>
      </c>
      <c r="D20" s="371">
        <f t="shared" si="0"/>
        <v>241040.88896855898</v>
      </c>
      <c r="E20" s="406">
        <f>FGP!K20</f>
        <v>5.4339902031620495</v>
      </c>
      <c r="F20" s="371">
        <f t="shared" si="1"/>
        <v>194881.41940708243</v>
      </c>
      <c r="G20" s="406">
        <f>FGP!Q20</f>
        <v>4.2237655219396029</v>
      </c>
      <c r="H20" s="406">
        <f t="shared" si="3"/>
        <v>0.42237655219396031</v>
      </c>
      <c r="I20" s="371">
        <f t="shared" si="4"/>
        <v>50492.878430249606</v>
      </c>
      <c r="J20" s="407">
        <f t="shared" si="2"/>
        <v>486415.18680589099</v>
      </c>
      <c r="K20" s="143"/>
      <c r="L20" s="170" t="e">
        <f>#REF!+#REF!+H20</f>
        <v>#REF!</v>
      </c>
      <c r="M20" s="170"/>
      <c r="N20" s="168" t="e">
        <f>[1]Datos!K$64*L20%*22.5%</f>
        <v>#REF!</v>
      </c>
      <c r="O20" s="169"/>
      <c r="P20" s="126"/>
      <c r="Q20" s="144"/>
      <c r="R20" s="102"/>
      <c r="S20" s="102"/>
      <c r="T20" s="144"/>
      <c r="U20" s="145"/>
      <c r="V20" s="146"/>
      <c r="W20" s="147"/>
      <c r="X20" s="137"/>
      <c r="Y20" s="137"/>
    </row>
    <row r="21" spans="2:25" ht="22.5" customHeight="1" x14ac:dyDescent="0.25">
      <c r="B21" s="132" t="s">
        <v>58</v>
      </c>
      <c r="C21" s="424">
        <f>FGP!E21</f>
        <v>0.62187564753418989</v>
      </c>
      <c r="D21" s="371">
        <f t="shared" si="0"/>
        <v>44605.162819630976</v>
      </c>
      <c r="E21" s="406">
        <f>FGP!K21</f>
        <v>5.279038290141199</v>
      </c>
      <c r="F21" s="371">
        <f t="shared" si="1"/>
        <v>189324.31539688853</v>
      </c>
      <c r="G21" s="406">
        <f>FGP!Q21</f>
        <v>7.8708918191881567</v>
      </c>
      <c r="H21" s="406">
        <f t="shared" si="3"/>
        <v>0.78708918191881572</v>
      </c>
      <c r="I21" s="371">
        <f t="shared" si="4"/>
        <v>94092.340519274847</v>
      </c>
      <c r="J21" s="407">
        <f t="shared" si="2"/>
        <v>328021.8187357944</v>
      </c>
      <c r="K21" s="143"/>
      <c r="L21" s="170" t="e">
        <f>#REF!+#REF!+H21</f>
        <v>#REF!</v>
      </c>
      <c r="M21" s="170"/>
      <c r="N21" s="168" t="e">
        <f>[1]Datos!K$64*L21%*22.5%</f>
        <v>#REF!</v>
      </c>
      <c r="O21" s="169"/>
      <c r="P21" s="126"/>
      <c r="Q21" s="144"/>
      <c r="R21" s="102"/>
      <c r="S21" s="102"/>
      <c r="T21" s="144"/>
      <c r="U21" s="145"/>
      <c r="V21" s="146"/>
      <c r="W21" s="147"/>
      <c r="X21" s="137"/>
      <c r="Y21" s="137"/>
    </row>
    <row r="22" spans="2:25" ht="22.5" customHeight="1" x14ac:dyDescent="0.25">
      <c r="B22" s="132" t="s">
        <v>59</v>
      </c>
      <c r="C22" s="424">
        <f>FGP!E22</f>
        <v>2.0163405252797348</v>
      </c>
      <c r="D22" s="371">
        <f t="shared" si="0"/>
        <v>144625.69452034717</v>
      </c>
      <c r="E22" s="406">
        <f>FGP!K22</f>
        <v>5.4742051263884699</v>
      </c>
      <c r="F22" s="371">
        <f t="shared" si="1"/>
        <v>196323.66369290228</v>
      </c>
      <c r="G22" s="406">
        <f>FGP!Q22</f>
        <v>5.4003140701316221</v>
      </c>
      <c r="H22" s="406">
        <f t="shared" si="3"/>
        <v>0.54003140701316221</v>
      </c>
      <c r="I22" s="371">
        <f t="shared" si="4"/>
        <v>64557.892811982085</v>
      </c>
      <c r="J22" s="407">
        <f t="shared" si="2"/>
        <v>405507.25102523156</v>
      </c>
      <c r="K22" s="143"/>
      <c r="L22" s="170" t="e">
        <f>#REF!+#REF!+H22</f>
        <v>#REF!</v>
      </c>
      <c r="M22" s="170"/>
      <c r="N22" s="168" t="e">
        <f>[1]Datos!K$64*L22%*22.5%</f>
        <v>#REF!</v>
      </c>
      <c r="O22" s="169"/>
      <c r="P22" s="126"/>
      <c r="Q22" s="144"/>
      <c r="R22" s="102"/>
      <c r="S22" s="102"/>
      <c r="T22" s="144"/>
      <c r="U22" s="145"/>
      <c r="V22" s="146"/>
      <c r="W22" s="147"/>
      <c r="X22" s="137"/>
      <c r="Y22" s="137"/>
    </row>
    <row r="23" spans="2:25" ht="22.5" customHeight="1" x14ac:dyDescent="0.25">
      <c r="B23" s="132" t="s">
        <v>60</v>
      </c>
      <c r="C23" s="424">
        <f>FGP!E23</f>
        <v>7.6069888365105687</v>
      </c>
      <c r="D23" s="371">
        <f t="shared" si="0"/>
        <v>545625.12130049965</v>
      </c>
      <c r="E23" s="406">
        <f>FGP!K23</f>
        <v>5.1119925494318093</v>
      </c>
      <c r="F23" s="371">
        <f t="shared" si="1"/>
        <v>183333.48548401715</v>
      </c>
      <c r="G23" s="406">
        <f>FGP!Q23</f>
        <v>2.5258411098034181</v>
      </c>
      <c r="H23" s="406">
        <f t="shared" si="3"/>
        <v>0.25258411098034184</v>
      </c>
      <c r="I23" s="371">
        <f t="shared" si="4"/>
        <v>30195.091898203726</v>
      </c>
      <c r="J23" s="407">
        <f t="shared" si="2"/>
        <v>759153.69868272054</v>
      </c>
      <c r="K23" s="143"/>
      <c r="L23" s="170" t="e">
        <f>#REF!+#REF!+H23</f>
        <v>#REF!</v>
      </c>
      <c r="M23" s="170"/>
      <c r="N23" s="168" t="e">
        <f>[1]Datos!K$64*L23%*22.5%</f>
        <v>#REF!</v>
      </c>
      <c r="O23" s="169"/>
      <c r="P23" s="126"/>
      <c r="Q23" s="144"/>
      <c r="R23" s="102"/>
      <c r="S23" s="102"/>
      <c r="T23" s="144"/>
      <c r="U23" s="145"/>
      <c r="V23" s="146"/>
      <c r="W23" s="147"/>
      <c r="X23" s="137"/>
      <c r="Y23" s="137"/>
    </row>
    <row r="24" spans="2:25" ht="22.5" customHeight="1" x14ac:dyDescent="0.25">
      <c r="B24" s="132" t="s">
        <v>61</v>
      </c>
      <c r="C24" s="424">
        <f>FGP!E24</f>
        <v>3.0057727673021133</v>
      </c>
      <c r="D24" s="371">
        <f t="shared" si="0"/>
        <v>215594.5231429124</v>
      </c>
      <c r="E24" s="406">
        <f>FGP!K24</f>
        <v>5.1376330875482097</v>
      </c>
      <c r="F24" s="371">
        <f t="shared" si="1"/>
        <v>184253.04261895231</v>
      </c>
      <c r="G24" s="406">
        <f>FGP!Q24</f>
        <v>4.6048388786689074</v>
      </c>
      <c r="H24" s="406">
        <f t="shared" si="3"/>
        <v>0.46048388786689076</v>
      </c>
      <c r="I24" s="371">
        <f t="shared" si="4"/>
        <v>55048.408460123042</v>
      </c>
      <c r="J24" s="407">
        <f t="shared" si="2"/>
        <v>454895.97422198777</v>
      </c>
      <c r="K24" s="143"/>
      <c r="L24" s="170" t="e">
        <f>#REF!+#REF!+H24</f>
        <v>#REF!</v>
      </c>
      <c r="M24" s="170"/>
      <c r="N24" s="168" t="e">
        <f>[1]Datos!K$64*L24%*22.5%</f>
        <v>#REF!</v>
      </c>
      <c r="O24" s="169"/>
      <c r="P24" s="126"/>
      <c r="Q24" s="144"/>
      <c r="R24" s="102"/>
      <c r="S24" s="102"/>
      <c r="T24" s="144"/>
      <c r="U24" s="145"/>
      <c r="V24" s="146"/>
      <c r="W24" s="147"/>
      <c r="X24" s="137"/>
      <c r="Y24" s="137"/>
    </row>
    <row r="25" spans="2:25" ht="22.5" customHeight="1" x14ac:dyDescent="0.25">
      <c r="B25" s="132" t="s">
        <v>62</v>
      </c>
      <c r="C25" s="424">
        <f>FGP!E25</f>
        <v>34.475044032324909</v>
      </c>
      <c r="D25" s="371">
        <f t="shared" si="0"/>
        <v>2472785.2881411561</v>
      </c>
      <c r="E25" s="406">
        <f>FGP!K25</f>
        <v>4.2625118041278611</v>
      </c>
      <c r="F25" s="371">
        <f t="shared" si="1"/>
        <v>152868.20910065397</v>
      </c>
      <c r="G25" s="406">
        <f>FGP!Q25</f>
        <v>0.70124775348138346</v>
      </c>
      <c r="H25" s="406">
        <f t="shared" si="3"/>
        <v>7.0124775348138352E-2</v>
      </c>
      <c r="I25" s="371">
        <f t="shared" si="4"/>
        <v>8383.045266622983</v>
      </c>
      <c r="J25" s="407">
        <f t="shared" si="2"/>
        <v>2634036.5425084331</v>
      </c>
      <c r="K25" s="143"/>
      <c r="L25" s="170" t="e">
        <f>#REF!+#REF!+H25</f>
        <v>#REF!</v>
      </c>
      <c r="M25" s="170"/>
      <c r="N25" s="168" t="e">
        <f>[1]Datos!K$64*L25%*22.5%</f>
        <v>#REF!</v>
      </c>
      <c r="O25" s="169"/>
      <c r="P25" s="126"/>
      <c r="Q25" s="144"/>
      <c r="R25" s="102"/>
      <c r="S25" s="102"/>
      <c r="T25" s="144"/>
      <c r="U25" s="145"/>
      <c r="V25" s="146"/>
      <c r="W25" s="147"/>
      <c r="X25" s="137"/>
      <c r="Y25" s="137"/>
    </row>
    <row r="26" spans="2:25" ht="22.5" customHeight="1" x14ac:dyDescent="0.25">
      <c r="B26" s="132" t="s">
        <v>63</v>
      </c>
      <c r="C26" s="424">
        <f>FGP!E26</f>
        <v>2.4334334852880231</v>
      </c>
      <c r="D26" s="371">
        <f t="shared" si="0"/>
        <v>174542.44631125673</v>
      </c>
      <c r="E26" s="406">
        <f>FGP!K26</f>
        <v>2.7649608812531552</v>
      </c>
      <c r="F26" s="371">
        <f t="shared" si="1"/>
        <v>99160.926133087356</v>
      </c>
      <c r="G26" s="406">
        <f>FGP!Q26</f>
        <v>6.7271133706463955</v>
      </c>
      <c r="H26" s="406">
        <f t="shared" si="3"/>
        <v>0.67271133706463959</v>
      </c>
      <c r="I26" s="371">
        <f t="shared" si="4"/>
        <v>80419.075312346889</v>
      </c>
      <c r="J26" s="407">
        <f t="shared" si="2"/>
        <v>354122.44775669102</v>
      </c>
      <c r="K26" s="143"/>
      <c r="L26" s="170" t="e">
        <f>#REF!+#REF!+H26</f>
        <v>#REF!</v>
      </c>
      <c r="M26" s="170"/>
      <c r="N26" s="168" t="e">
        <f>[1]Datos!K$64*L26%*22.5%</f>
        <v>#REF!</v>
      </c>
      <c r="O26" s="169"/>
      <c r="P26" s="126"/>
      <c r="Q26" s="144"/>
      <c r="R26" s="102"/>
      <c r="S26" s="102"/>
      <c r="T26" s="144"/>
      <c r="U26" s="145"/>
      <c r="V26" s="146"/>
      <c r="W26" s="147"/>
      <c r="X26" s="137"/>
      <c r="Y26" s="137"/>
    </row>
    <row r="27" spans="2:25" ht="22.5" customHeight="1" thickBot="1" x14ac:dyDescent="0.3">
      <c r="B27" s="132" t="s">
        <v>64</v>
      </c>
      <c r="C27" s="424">
        <f>FGP!E27</f>
        <v>5.2797509583506006</v>
      </c>
      <c r="D27" s="371">
        <f t="shared" si="0"/>
        <v>378699.74821836635</v>
      </c>
      <c r="E27" s="406">
        <f>FGP!K27</f>
        <v>4.5186692786438734</v>
      </c>
      <c r="F27" s="371">
        <f t="shared" si="1"/>
        <v>162054.88967220986</v>
      </c>
      <c r="G27" s="406">
        <f>FGP!Q27</f>
        <v>3.4049335638503355</v>
      </c>
      <c r="H27" s="406">
        <f t="shared" si="3"/>
        <v>0.34049335638503359</v>
      </c>
      <c r="I27" s="371">
        <f t="shared" si="4"/>
        <v>40704.176311288604</v>
      </c>
      <c r="J27" s="407">
        <f t="shared" si="2"/>
        <v>581458.81420186476</v>
      </c>
      <c r="K27" s="166"/>
      <c r="L27" s="144" t="e">
        <f>#REF!+#REF!+H27</f>
        <v>#REF!</v>
      </c>
      <c r="M27" s="144"/>
      <c r="N27" s="168" t="e">
        <f>[1]Datos!K$64*L27%*22.5%</f>
        <v>#REF!</v>
      </c>
      <c r="O27" s="169"/>
      <c r="P27" s="126"/>
      <c r="Q27" s="144"/>
      <c r="R27" s="102"/>
      <c r="S27" s="102"/>
      <c r="T27" s="144"/>
      <c r="U27" s="145"/>
      <c r="V27" s="146"/>
      <c r="W27" s="147"/>
      <c r="X27" s="137"/>
      <c r="Y27" s="137"/>
    </row>
    <row r="28" spans="2:25" ht="15.75" thickBot="1" x14ac:dyDescent="0.3">
      <c r="B28" s="422" t="s">
        <v>65</v>
      </c>
      <c r="C28" s="425">
        <v>99.999999999999986</v>
      </c>
      <c r="D28" s="53">
        <f>Datos!K59*'Incentivo ISAN'!C6</f>
        <v>7172682.0300000003</v>
      </c>
      <c r="E28" s="178">
        <v>100.00000000000003</v>
      </c>
      <c r="F28" s="53">
        <f>Datos!K59*'Incentivo ISAN'!E6</f>
        <v>3586341.0150000001</v>
      </c>
      <c r="G28" s="178">
        <v>99.999999999999972</v>
      </c>
      <c r="H28" s="179">
        <f t="shared" si="3"/>
        <v>9.9999999999999982</v>
      </c>
      <c r="I28" s="53">
        <f>Datos!K59*'Incentivo ISAN'!G6</f>
        <v>1195447.0050000001</v>
      </c>
      <c r="J28" s="172">
        <f>SUM(J8:J27)</f>
        <v>11954470.050000001</v>
      </c>
      <c r="K28" s="173"/>
      <c r="L28" s="174" t="e">
        <f>#REF!+#REF!+H28</f>
        <v>#REF!</v>
      </c>
      <c r="M28" s="174"/>
      <c r="N28" s="175" t="e">
        <f>SUM(N8:N27)</f>
        <v>#REF!</v>
      </c>
      <c r="O28" s="176"/>
      <c r="P28" s="177"/>
      <c r="Q28" s="149"/>
      <c r="R28" s="148"/>
      <c r="S28" s="148"/>
      <c r="T28" s="149"/>
      <c r="U28" s="129"/>
      <c r="V28" s="146"/>
      <c r="W28" s="147"/>
      <c r="X28" s="137"/>
      <c r="Y28" s="137"/>
    </row>
    <row r="29" spans="2:25" x14ac:dyDescent="0.25">
      <c r="B29" s="1086" t="s">
        <v>295</v>
      </c>
      <c r="C29" s="1086"/>
      <c r="D29" s="1086"/>
      <c r="E29" s="1086"/>
      <c r="F29" s="1086"/>
      <c r="G29" s="1086"/>
      <c r="H29" s="8"/>
      <c r="I29" s="8"/>
      <c r="J29" s="8"/>
      <c r="K29" s="8"/>
      <c r="L29" s="150"/>
      <c r="M29" s="150"/>
      <c r="N29" s="135"/>
      <c r="O29" s="135"/>
      <c r="P29" s="144"/>
      <c r="Q29" s="136"/>
      <c r="R29" s="136"/>
      <c r="S29" s="137"/>
      <c r="T29" s="137"/>
      <c r="U29" s="137"/>
      <c r="V29" s="137"/>
      <c r="W29" s="137"/>
      <c r="X29" s="137"/>
      <c r="Y29" s="137"/>
    </row>
    <row r="30" spans="2:25" ht="24.75" customHeight="1" x14ac:dyDescent="0.25">
      <c r="B30" s="1136"/>
      <c r="C30" s="1137"/>
      <c r="D30" s="1137"/>
      <c r="E30" s="1137"/>
      <c r="F30" s="1137"/>
      <c r="G30" s="1137"/>
      <c r="H30" s="1137"/>
      <c r="I30" s="1137"/>
      <c r="J30" s="1137"/>
      <c r="K30" s="8"/>
      <c r="L30" s="8"/>
      <c r="M30" s="8"/>
      <c r="N30" s="151"/>
      <c r="O30" s="8"/>
      <c r="P30" s="8"/>
      <c r="Q30" s="57"/>
      <c r="R30" s="57"/>
    </row>
  </sheetData>
  <mergeCells count="9">
    <mergeCell ref="B29:G29"/>
    <mergeCell ref="B30:J30"/>
    <mergeCell ref="O4:P5"/>
    <mergeCell ref="B1:L1"/>
    <mergeCell ref="B4:B7"/>
    <mergeCell ref="D4:D5"/>
    <mergeCell ref="F4:F5"/>
    <mergeCell ref="I4:I5"/>
    <mergeCell ref="J4:J6"/>
  </mergeCells>
  <printOptions horizontalCentered="1"/>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21</vt:i4>
      </vt:variant>
    </vt:vector>
  </HeadingPairs>
  <TitlesOfParts>
    <vt:vector size="47" baseType="lpstr">
      <vt:lpstr>CALENDARIO 2023</vt:lpstr>
      <vt:lpstr>Consolidado</vt:lpstr>
      <vt:lpstr>FGP</vt:lpstr>
      <vt:lpstr>FFM</vt:lpstr>
      <vt:lpstr>FOFIR</vt:lpstr>
      <vt:lpstr>FOCO</vt:lpstr>
      <vt:lpstr>IEPS TyA</vt:lpstr>
      <vt:lpstr>IEPS GyD </vt:lpstr>
      <vt:lpstr>Incentivo ISAN</vt:lpstr>
      <vt:lpstr>FOCO ISAN</vt:lpstr>
      <vt:lpstr>ISR Enaje</vt:lpstr>
      <vt:lpstr>IEPS 2014 </vt:lpstr>
      <vt:lpstr>CENSO 2020</vt:lpstr>
      <vt:lpstr>Predial y Agua</vt:lpstr>
      <vt:lpstr>F.G.P. 2023</vt:lpstr>
      <vt:lpstr>F.F.M.2023</vt:lpstr>
      <vt:lpstr>IEPS2023</vt:lpstr>
      <vt:lpstr>IEPSGAS 2023</vt:lpstr>
      <vt:lpstr>FOFIR 2023</vt:lpstr>
      <vt:lpstr>FOCO 2023</vt:lpstr>
      <vt:lpstr>ISAN 2023</vt:lpstr>
      <vt:lpstr>FOCO ISAN 2023 </vt:lpstr>
      <vt:lpstr>ISR 2023</vt:lpstr>
      <vt:lpstr>ISR EJANE 2023</vt:lpstr>
      <vt:lpstr>IEPS2020 (2)</vt:lpstr>
      <vt:lpstr>ISAN Recaudacion (2)</vt:lpstr>
      <vt:lpstr>'CALENDARIO 2023'!Área_de_impresión</vt:lpstr>
      <vt:lpstr>'CENSO 2020'!Área_de_impresión</vt:lpstr>
      <vt:lpstr>Datos!Área_de_impresión</vt:lpstr>
      <vt:lpstr>F.F.M.2023!Área_de_impresión</vt:lpstr>
      <vt:lpstr>'F.G.P. 2023'!Área_de_impresión</vt:lpstr>
      <vt:lpstr>'FOCO ISAN'!Área_de_impresión</vt:lpstr>
      <vt:lpstr>'FOCO ISAN 2023 '!Área_de_impresión</vt:lpstr>
      <vt:lpstr>FOFIR!Área_de_impresión</vt:lpstr>
      <vt:lpstr>'FOFIR 2023'!Área_de_impresión</vt:lpstr>
      <vt:lpstr>'IEPS 2014 '!Área_de_impresión</vt:lpstr>
      <vt:lpstr>'IEPS GyD '!Área_de_impresión</vt:lpstr>
      <vt:lpstr>'IEPS TyA'!Área_de_impresión</vt:lpstr>
      <vt:lpstr>IEPS2023!Área_de_impresión</vt:lpstr>
      <vt:lpstr>'IEPSGAS 2023'!Área_de_impresión</vt:lpstr>
      <vt:lpstr>'Incentivo ISAN'!Área_de_impresión</vt:lpstr>
      <vt:lpstr>'ISAN 2023'!Área_de_impresión</vt:lpstr>
      <vt:lpstr>'ISR 2023'!Área_de_impresión</vt:lpstr>
      <vt:lpstr>'ISR EJANE 2023'!Área_de_impresión</vt:lpstr>
      <vt:lpstr>'ISR Enaje'!Área_de_impresión</vt:lpstr>
      <vt:lpstr>'Predial y Agua'!Área_de_impresión</vt:lpstr>
      <vt:lpstr>'X22.55 POE'!Área_de_impresión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Palmira González</cp:lastModifiedBy>
  <cp:lastPrinted>2023-02-02T20:45:50Z</cp:lastPrinted>
  <dcterms:created xsi:type="dcterms:W3CDTF">2018-01-30T21:48:08Z</dcterms:created>
  <dcterms:modified xsi:type="dcterms:W3CDTF">2023-02-09T21:29:03Z</dcterms:modified>
</cp:coreProperties>
</file>